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ke\Dropbox\teaching\biol9004\excel workshop\"/>
    </mc:Choice>
  </mc:AlternateContent>
  <bookViews>
    <workbookView xWindow="3510" yWindow="0" windowWidth="27630" windowHeight="12420"/>
  </bookViews>
  <sheets>
    <sheet name="Trapping-gigging" sheetId="2" r:id="rId1"/>
    <sheet name="method codes" sheetId="4" r:id="rId2"/>
    <sheet name="species codes" sheetId="3" r:id="rId3"/>
    <sheet name="month summary" sheetId="5" r:id="rId4"/>
    <sheet name="textTOcolumns" sheetId="7" r:id="rId5"/>
  </sheets>
  <definedNames>
    <definedName name="_xlnm._FilterDatabase" localSheetId="0" hidden="1">'Trapping-gigging'!$A$1:$O$96</definedName>
    <definedName name="_xlnm.Extract" localSheetId="0">'Trapping-gigging'!$Q$2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  <c r="F3" i="5" l="1" a="1"/>
  <c r="F3" i="5" s="1"/>
  <c r="F4" i="5" a="1"/>
  <c r="F4" i="5" s="1"/>
  <c r="F5" i="5" a="1"/>
  <c r="F5" i="5" s="1"/>
  <c r="F6" i="5" a="1"/>
  <c r="F6" i="5" s="1"/>
  <c r="F7" i="5" a="1"/>
  <c r="F7" i="5" s="1"/>
  <c r="F8" i="5" a="1"/>
  <c r="F8" i="5" s="1"/>
  <c r="F9" i="5" a="1"/>
  <c r="F9" i="5" s="1"/>
  <c r="F2" i="5" a="1"/>
  <c r="F2" i="5" s="1"/>
  <c r="E2" i="5"/>
  <c r="H2" i="7"/>
  <c r="H7" i="7" s="1"/>
  <c r="I2" i="7"/>
  <c r="G3" i="7"/>
  <c r="F3" i="7"/>
  <c r="I7" i="7" l="1"/>
  <c r="D2" i="7"/>
  <c r="W3" i="2"/>
  <c r="W4" i="2"/>
  <c r="W2" i="2"/>
  <c r="V2" i="2" a="1"/>
  <c r="V2" i="2"/>
  <c r="S61" i="2"/>
  <c r="S62" i="2" s="1"/>
  <c r="S63" i="2" s="1"/>
  <c r="S64" i="2" s="1"/>
  <c r="S65" i="2" s="1"/>
  <c r="S66" i="2" s="1"/>
  <c r="S67" i="2" s="1"/>
  <c r="S68" i="2" s="1"/>
  <c r="S69" i="2" s="1"/>
  <c r="S70" i="2" s="1"/>
  <c r="S71" i="2" s="1"/>
  <c r="S72" i="2" s="1"/>
  <c r="S73" i="2" s="1"/>
  <c r="S74" i="2" s="1"/>
  <c r="S75" i="2" s="1"/>
  <c r="S76" i="2" s="1"/>
  <c r="S77" i="2" s="1"/>
  <c r="S78" i="2" s="1"/>
  <c r="S79" i="2" s="1"/>
  <c r="S80" i="2" s="1"/>
  <c r="S81" i="2" s="1"/>
  <c r="S82" i="2" s="1"/>
  <c r="S83" i="2" s="1"/>
  <c r="S84" i="2" s="1"/>
  <c r="S85" i="2" s="1"/>
  <c r="S86" i="2" s="1"/>
  <c r="S87" i="2" s="1"/>
  <c r="S88" i="2" s="1"/>
  <c r="S89" i="2" s="1"/>
  <c r="S90" i="2" s="1"/>
  <c r="S91" i="2" s="1"/>
  <c r="S92" i="2" s="1"/>
  <c r="S93" i="2" s="1"/>
  <c r="S94" i="2" s="1"/>
  <c r="S95" i="2" s="1"/>
  <c r="S96" i="2" s="1"/>
  <c r="H5" i="7"/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2" i="2"/>
  <c r="E3" i="2"/>
  <c r="O3" i="2" s="1"/>
  <c r="P3" i="2" s="1"/>
  <c r="E4" i="2"/>
  <c r="O4" i="2" s="1"/>
  <c r="E5" i="2"/>
  <c r="O5" i="2" s="1"/>
  <c r="E6" i="2"/>
  <c r="O6" i="2" s="1"/>
  <c r="E7" i="2"/>
  <c r="O7" i="2" s="1"/>
  <c r="E8" i="2"/>
  <c r="O8" i="2" s="1"/>
  <c r="E9" i="2"/>
  <c r="O9" i="2" s="1"/>
  <c r="E10" i="2"/>
  <c r="O10" i="2" s="1"/>
  <c r="E11" i="2"/>
  <c r="O11" i="2" s="1"/>
  <c r="E12" i="2"/>
  <c r="O12" i="2" s="1"/>
  <c r="E13" i="2"/>
  <c r="O13" i="2" s="1"/>
  <c r="E14" i="2"/>
  <c r="O14" i="2" s="1"/>
  <c r="E15" i="2"/>
  <c r="O15" i="2" s="1"/>
  <c r="E16" i="2"/>
  <c r="O16" i="2" s="1"/>
  <c r="E17" i="2"/>
  <c r="O17" i="2" s="1"/>
  <c r="E18" i="2"/>
  <c r="O18" i="2" s="1"/>
  <c r="E19" i="2"/>
  <c r="O19" i="2" s="1"/>
  <c r="E20" i="2"/>
  <c r="O20" i="2" s="1"/>
  <c r="E21" i="2"/>
  <c r="O21" i="2" s="1"/>
  <c r="E22" i="2"/>
  <c r="O22" i="2" s="1"/>
  <c r="E23" i="2"/>
  <c r="O23" i="2" s="1"/>
  <c r="E24" i="2"/>
  <c r="O24" i="2" s="1"/>
  <c r="E25" i="2"/>
  <c r="O25" i="2" s="1"/>
  <c r="E26" i="2"/>
  <c r="E27" i="2"/>
  <c r="O27" i="2" s="1"/>
  <c r="E28" i="2"/>
  <c r="O28" i="2" s="1"/>
  <c r="E29" i="2"/>
  <c r="O29" i="2" s="1"/>
  <c r="E30" i="2"/>
  <c r="O30" i="2" s="1"/>
  <c r="E31" i="2"/>
  <c r="O31" i="2" s="1"/>
  <c r="E32" i="2"/>
  <c r="O32" i="2" s="1"/>
  <c r="E33" i="2"/>
  <c r="O33" i="2" s="1"/>
  <c r="E34" i="2"/>
  <c r="O34" i="2" s="1"/>
  <c r="E35" i="2"/>
  <c r="O35" i="2" s="1"/>
  <c r="E36" i="2"/>
  <c r="O36" i="2" s="1"/>
  <c r="E37" i="2"/>
  <c r="O37" i="2" s="1"/>
  <c r="E38" i="2"/>
  <c r="O38" i="2" s="1"/>
  <c r="E39" i="2"/>
  <c r="O39" i="2" s="1"/>
  <c r="E40" i="2"/>
  <c r="O40" i="2" s="1"/>
  <c r="E41" i="2"/>
  <c r="O41" i="2" s="1"/>
  <c r="E42" i="2"/>
  <c r="O42" i="2" s="1"/>
  <c r="E43" i="2"/>
  <c r="O43" i="2" s="1"/>
  <c r="E44" i="2"/>
  <c r="O44" i="2" s="1"/>
  <c r="E45" i="2"/>
  <c r="O45" i="2" s="1"/>
  <c r="E46" i="2"/>
  <c r="O46" i="2" s="1"/>
  <c r="E47" i="2"/>
  <c r="O47" i="2" s="1"/>
  <c r="E48" i="2"/>
  <c r="O48" i="2" s="1"/>
  <c r="E49" i="2"/>
  <c r="O49" i="2" s="1"/>
  <c r="E50" i="2"/>
  <c r="O50" i="2" s="1"/>
  <c r="E51" i="2"/>
  <c r="O51" i="2" s="1"/>
  <c r="E52" i="2"/>
  <c r="O52" i="2" s="1"/>
  <c r="E53" i="2"/>
  <c r="O53" i="2" s="1"/>
  <c r="E54" i="2"/>
  <c r="O54" i="2" s="1"/>
  <c r="E55" i="2"/>
  <c r="O55" i="2" s="1"/>
  <c r="E56" i="2"/>
  <c r="O56" i="2" s="1"/>
  <c r="E57" i="2"/>
  <c r="O57" i="2" s="1"/>
  <c r="E58" i="2"/>
  <c r="O58" i="2" s="1"/>
  <c r="E59" i="2"/>
  <c r="O59" i="2" s="1"/>
  <c r="E60" i="2"/>
  <c r="O60" i="2" s="1"/>
  <c r="E61" i="2"/>
  <c r="O61" i="2" s="1"/>
  <c r="E62" i="2"/>
  <c r="O62" i="2" s="1"/>
  <c r="E63" i="2"/>
  <c r="O63" i="2" s="1"/>
  <c r="E64" i="2"/>
  <c r="O64" i="2" s="1"/>
  <c r="E65" i="2"/>
  <c r="O65" i="2" s="1"/>
  <c r="E66" i="2"/>
  <c r="O66" i="2" s="1"/>
  <c r="E67" i="2"/>
  <c r="O67" i="2" s="1"/>
  <c r="E68" i="2"/>
  <c r="O68" i="2" s="1"/>
  <c r="E69" i="2"/>
  <c r="O69" i="2" s="1"/>
  <c r="E70" i="2"/>
  <c r="O70" i="2" s="1"/>
  <c r="E71" i="2"/>
  <c r="O71" i="2" s="1"/>
  <c r="E72" i="2"/>
  <c r="O72" i="2" s="1"/>
  <c r="E73" i="2"/>
  <c r="O73" i="2" s="1"/>
  <c r="E74" i="2"/>
  <c r="O74" i="2" s="1"/>
  <c r="E75" i="2"/>
  <c r="O75" i="2" s="1"/>
  <c r="E76" i="2"/>
  <c r="O76" i="2" s="1"/>
  <c r="E77" i="2"/>
  <c r="O77" i="2" s="1"/>
  <c r="E78" i="2"/>
  <c r="O78" i="2" s="1"/>
  <c r="E79" i="2"/>
  <c r="O79" i="2" s="1"/>
  <c r="E80" i="2"/>
  <c r="O80" i="2" s="1"/>
  <c r="E81" i="2"/>
  <c r="O81" i="2" s="1"/>
  <c r="E82" i="2"/>
  <c r="O82" i="2" s="1"/>
  <c r="E83" i="2"/>
  <c r="O83" i="2" s="1"/>
  <c r="E84" i="2"/>
  <c r="O84" i="2" s="1"/>
  <c r="E85" i="2"/>
  <c r="O85" i="2" s="1"/>
  <c r="E86" i="2"/>
  <c r="O86" i="2" s="1"/>
  <c r="E87" i="2"/>
  <c r="O87" i="2" s="1"/>
  <c r="E88" i="2"/>
  <c r="O88" i="2" s="1"/>
  <c r="E89" i="2"/>
  <c r="O89" i="2" s="1"/>
  <c r="E90" i="2"/>
  <c r="O90" i="2" s="1"/>
  <c r="E91" i="2"/>
  <c r="O91" i="2" s="1"/>
  <c r="E92" i="2"/>
  <c r="O92" i="2" s="1"/>
  <c r="E93" i="2"/>
  <c r="O93" i="2" s="1"/>
  <c r="E94" i="2"/>
  <c r="O94" i="2" s="1"/>
  <c r="E95" i="2"/>
  <c r="O95" i="2" s="1"/>
  <c r="E96" i="2"/>
  <c r="O96" i="2" s="1"/>
  <c r="E2" i="2"/>
  <c r="O2" i="2" s="1"/>
  <c r="P2" i="2" s="1"/>
  <c r="E3" i="5"/>
  <c r="E4" i="5"/>
  <c r="E5" i="5"/>
  <c r="E6" i="5"/>
  <c r="E7" i="5"/>
  <c r="E8" i="5"/>
  <c r="E9" i="5"/>
  <c r="D3" i="5"/>
  <c r="D4" i="5"/>
  <c r="D5" i="5"/>
  <c r="D6" i="5"/>
  <c r="D7" i="5"/>
  <c r="D8" i="5"/>
  <c r="D9" i="5"/>
  <c r="D2" i="5"/>
  <c r="O26" i="2"/>
  <c r="G4" i="2"/>
  <c r="G3" i="2"/>
  <c r="G2" i="2"/>
  <c r="S3" i="2" l="1"/>
  <c r="Q2" i="2"/>
  <c r="R2" i="2" s="1"/>
  <c r="S4" i="2"/>
  <c r="S5" i="2" s="1"/>
  <c r="S6" i="2" s="1"/>
  <c r="S7" i="2" s="1"/>
  <c r="S8" i="2" s="1"/>
  <c r="S9" i="2" s="1"/>
  <c r="S10" i="2" s="1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S31" i="2" s="1"/>
  <c r="S32" i="2" s="1"/>
  <c r="S33" i="2" s="1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S60" i="2" s="1"/>
  <c r="Q6" i="2"/>
  <c r="R6" i="2" s="1"/>
  <c r="Q4" i="2"/>
  <c r="R4" i="2" s="1"/>
  <c r="Q3" i="2"/>
  <c r="R3" i="2" s="1"/>
  <c r="Q5" i="2"/>
  <c r="R5" i="2" s="1"/>
</calcChain>
</file>

<file path=xl/comments1.xml><?xml version="1.0" encoding="utf-8"?>
<comments xmlns="http://schemas.openxmlformats.org/spreadsheetml/2006/main">
  <authors>
    <author>mikeb</author>
  </authors>
  <commentList>
    <comment ref="D1" authorId="0" shapeId="0">
      <text>
        <r>
          <rPr>
            <b/>
            <sz val="8"/>
            <color indexed="81"/>
            <rFont val="Tahoma"/>
            <family val="2"/>
          </rPr>
          <t>mikeb:</t>
        </r>
        <r>
          <rPr>
            <sz val="8"/>
            <color indexed="81"/>
            <rFont val="Tahoma"/>
            <family val="2"/>
          </rPr>
          <t xml:space="preserve">
Individual frog data is not matched to capture. Use only counts by method.
T=trap
G=gig
N=net
H=hook and line
Ha=hand
E=electroshocking
S=seine</t>
        </r>
      </text>
    </comment>
  </commentList>
</comments>
</file>

<file path=xl/sharedStrings.xml><?xml version="1.0" encoding="utf-8"?>
<sst xmlns="http://schemas.openxmlformats.org/spreadsheetml/2006/main" count="566" uniqueCount="121">
  <si>
    <t>Sampling Period</t>
  </si>
  <si>
    <t>Date</t>
  </si>
  <si>
    <t>Method (T/G/N/H/Ha/E/S)</t>
  </si>
  <si>
    <t>Method</t>
  </si>
  <si>
    <t>Location  (Trap ID)</t>
  </si>
  <si>
    <t>Treatment area</t>
  </si>
  <si>
    <t>Species code</t>
  </si>
  <si>
    <t>Species</t>
  </si>
  <si>
    <t>Size/ Age class</t>
  </si>
  <si>
    <t>Count</t>
  </si>
  <si>
    <t>Notes</t>
  </si>
  <si>
    <t>Sex</t>
  </si>
  <si>
    <t>ID</t>
  </si>
  <si>
    <t>G</t>
  </si>
  <si>
    <t>P1</t>
  </si>
  <si>
    <t>BF</t>
  </si>
  <si>
    <t>E</t>
  </si>
  <si>
    <t>C</t>
  </si>
  <si>
    <t>P1D</t>
  </si>
  <si>
    <t>N</t>
  </si>
  <si>
    <t>LB</t>
  </si>
  <si>
    <t>P3</t>
  </si>
  <si>
    <t>P2</t>
  </si>
  <si>
    <t>H</t>
  </si>
  <si>
    <t>GS</t>
  </si>
  <si>
    <t>TF</t>
  </si>
  <si>
    <t>T</t>
  </si>
  <si>
    <t>RES</t>
  </si>
  <si>
    <t>PS</t>
  </si>
  <si>
    <t>BFt</t>
  </si>
  <si>
    <t>RSC</t>
  </si>
  <si>
    <t>P2D</t>
  </si>
  <si>
    <t>PT</t>
  </si>
  <si>
    <t>Muskrat</t>
  </si>
  <si>
    <t>BGS</t>
  </si>
  <si>
    <t>P2U</t>
  </si>
  <si>
    <t>P1R</t>
  </si>
  <si>
    <t>TSGS</t>
  </si>
  <si>
    <t>F</t>
  </si>
  <si>
    <t>M</t>
  </si>
  <si>
    <t>TFt</t>
  </si>
  <si>
    <t>AFt</t>
  </si>
  <si>
    <t>AF</t>
  </si>
  <si>
    <t>Ha</t>
  </si>
  <si>
    <t>S</t>
  </si>
  <si>
    <t>HA</t>
  </si>
  <si>
    <t>WT</t>
  </si>
  <si>
    <t>Tt</t>
  </si>
  <si>
    <t>Bullfrog</t>
  </si>
  <si>
    <t>African clawed frog</t>
  </si>
  <si>
    <t>BKRND09</t>
  </si>
  <si>
    <t>Red swamp crayfish</t>
  </si>
  <si>
    <t>RDSQ</t>
  </si>
  <si>
    <t>RDSQ17</t>
  </si>
  <si>
    <t>RDSQ08</t>
  </si>
  <si>
    <t>BKRND06</t>
  </si>
  <si>
    <t>BKRND07</t>
  </si>
  <si>
    <t>RDSQ11</t>
  </si>
  <si>
    <t>BKRND03</t>
  </si>
  <si>
    <t>RDSQ12</t>
  </si>
  <si>
    <t>Largemouth bass</t>
  </si>
  <si>
    <t>BKRND05</t>
  </si>
  <si>
    <t>Bluegill sunfish</t>
  </si>
  <si>
    <t>BKRND</t>
  </si>
  <si>
    <t>RDSQ05</t>
  </si>
  <si>
    <t>RDSQ20</t>
  </si>
  <si>
    <t>BKRND02</t>
  </si>
  <si>
    <t>Southwestern pond turtle</t>
  </si>
  <si>
    <t>Recapture M10M20</t>
  </si>
  <si>
    <t>Bullfrog tadpole</t>
  </si>
  <si>
    <t>WI03</t>
  </si>
  <si>
    <t>RDSQ19</t>
  </si>
  <si>
    <t>RDSQ15</t>
  </si>
  <si>
    <t>RDSQ18</t>
  </si>
  <si>
    <t>RDSQ04</t>
  </si>
  <si>
    <t>RDSQ03</t>
  </si>
  <si>
    <t>BKRND04</t>
  </si>
  <si>
    <t>BKRND01</t>
  </si>
  <si>
    <t>RDSQ01</t>
  </si>
  <si>
    <t>WI01</t>
  </si>
  <si>
    <t>African clawed frog tadpole</t>
  </si>
  <si>
    <t>Green sunfish</t>
  </si>
  <si>
    <t>Prickly sculpin</t>
  </si>
  <si>
    <t>Red-eared slider</t>
  </si>
  <si>
    <t>Tree frog</t>
  </si>
  <si>
    <t>Tree frog tadpole</t>
  </si>
  <si>
    <t>Two-striped garter snake</t>
  </si>
  <si>
    <t>Western Toad</t>
  </si>
  <si>
    <t>Code</t>
  </si>
  <si>
    <t>method</t>
  </si>
  <si>
    <t>Trap</t>
  </si>
  <si>
    <t>Gig</t>
  </si>
  <si>
    <t>Net</t>
  </si>
  <si>
    <t>Hook &amp; line</t>
  </si>
  <si>
    <t>Hand</t>
  </si>
  <si>
    <t>Electrofishing</t>
  </si>
  <si>
    <t>Seine</t>
  </si>
  <si>
    <t>Crossbow</t>
  </si>
  <si>
    <t>dN</t>
  </si>
  <si>
    <t>Dipnet</t>
  </si>
  <si>
    <t>Trap (turtle)</t>
  </si>
  <si>
    <t>Month:</t>
  </si>
  <si>
    <t>Spp</t>
  </si>
  <si>
    <t>Aft</t>
  </si>
  <si>
    <t>Month</t>
  </si>
  <si>
    <t>Right text</t>
  </si>
  <si>
    <t>Search text</t>
  </si>
  <si>
    <t>grab middle text</t>
  </si>
  <si>
    <t>Conditional for formatting</t>
  </si>
  <si>
    <t>Conditional max</t>
  </si>
  <si>
    <t>SUMIF</t>
  </si>
  <si>
    <t>Temp ('C)</t>
  </si>
  <si>
    <t>Start date</t>
  </si>
  <si>
    <t>end date</t>
  </si>
  <si>
    <t>MatchStart</t>
  </si>
  <si>
    <t>MatchEnd</t>
  </si>
  <si>
    <t>Indirect</t>
  </si>
  <si>
    <t>Offset</t>
  </si>
  <si>
    <t>MaxLength</t>
  </si>
  <si>
    <t>Sum</t>
  </si>
  <si>
    <t>Conditional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</si>
</sst>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yyyy"/>
    <numFmt numFmtId="165" formatCode="m/d/yy\ h:mm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0" fillId="0" borderId="0" xfId="0" applyBorder="1"/>
    <xf numFmtId="17" fontId="0" fillId="0" borderId="0" xfId="0" applyNumberFormat="1" applyBorder="1"/>
    <xf numFmtId="14" fontId="0" fillId="0" borderId="0" xfId="0" applyNumberFormat="1" applyBorder="1"/>
    <xf numFmtId="0" fontId="0" fillId="0" borderId="0" xfId="0" applyFill="1" applyBorder="1"/>
    <xf numFmtId="0" fontId="1" fillId="0" borderId="0" xfId="0" applyFont="1"/>
    <xf numFmtId="164" fontId="0" fillId="0" borderId="0" xfId="0" applyNumberFormat="1"/>
    <xf numFmtId="2" fontId="1" fillId="0" borderId="0" xfId="0" applyNumberFormat="1" applyFont="1"/>
    <xf numFmtId="2" fontId="0" fillId="0" borderId="0" xfId="0" applyNumberFormat="1"/>
    <xf numFmtId="0" fontId="0" fillId="0" borderId="0" xfId="0" applyNumberFormat="1" applyBorder="1"/>
    <xf numFmtId="165" fontId="0" fillId="0" borderId="0" xfId="0" applyNumberFormat="1"/>
    <xf numFmtId="22" fontId="0" fillId="0" borderId="0" xfId="0" applyNumberFormat="1"/>
    <xf numFmtId="165" fontId="1" fillId="0" borderId="0" xfId="0" applyNumberFormat="1" applyFont="1"/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W96"/>
  <sheetViews>
    <sheetView tabSelected="1" zoomScaleNormal="100" workbookViewId="0">
      <pane ySplit="1" topLeftCell="A2" activePane="bottomLeft" state="frozen"/>
      <selection pane="bottomLeft" activeCell="R6" sqref="R6"/>
    </sheetView>
  </sheetViews>
  <sheetFormatPr defaultColWidth="9.140625" defaultRowHeight="15" x14ac:dyDescent="0.25"/>
  <cols>
    <col min="1" max="1" width="9" style="5" customWidth="1"/>
    <col min="2" max="2" width="10.5703125" style="5" bestFit="1" customWidth="1"/>
    <col min="3" max="3" width="7.85546875" style="5" customWidth="1"/>
    <col min="4" max="5" width="10" style="5" customWidth="1"/>
    <col min="6" max="6" width="9.85546875" style="5" customWidth="1"/>
    <col min="7" max="7" width="11.140625" style="5" customWidth="1"/>
    <col min="8" max="8" width="15.7109375" style="5" customWidth="1"/>
    <col min="9" max="9" width="9.140625" style="5" customWidth="1"/>
    <col min="10" max="10" width="23.7109375" style="5" bestFit="1" customWidth="1"/>
    <col min="11" max="11" width="8.85546875" style="5" customWidth="1"/>
    <col min="12" max="12" width="6.28515625" style="5" bestFit="1" customWidth="1"/>
    <col min="13" max="13" width="27.85546875" style="5" customWidth="1"/>
    <col min="14" max="14" width="6" style="5" customWidth="1"/>
    <col min="15" max="15" width="16.42578125" style="5" bestFit="1" customWidth="1"/>
    <col min="16" max="17" width="9.140625" style="5"/>
    <col min="18" max="18" width="14.7109375" style="5" bestFit="1" customWidth="1"/>
    <col min="19" max="19" width="13.7109375" style="5" customWidth="1"/>
    <col min="20" max="16384" width="9.140625" style="5"/>
  </cols>
  <sheetData>
    <row r="1" spans="1:23" ht="30" customHeight="1" x14ac:dyDescent="0.25">
      <c r="A1" s="1" t="s">
        <v>0</v>
      </c>
      <c r="B1" s="2" t="s">
        <v>1</v>
      </c>
      <c r="C1" s="2" t="s">
        <v>104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120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4" t="s">
        <v>11</v>
      </c>
      <c r="O1" s="4" t="s">
        <v>12</v>
      </c>
      <c r="P1" s="4" t="s">
        <v>105</v>
      </c>
      <c r="Q1" s="4" t="s">
        <v>106</v>
      </c>
      <c r="R1" s="4" t="s">
        <v>107</v>
      </c>
      <c r="S1" s="4" t="s">
        <v>108</v>
      </c>
      <c r="V1" s="4" t="s">
        <v>109</v>
      </c>
      <c r="W1" s="4" t="s">
        <v>110</v>
      </c>
    </row>
    <row r="2" spans="1:23" x14ac:dyDescent="0.25">
      <c r="A2" s="6">
        <v>42401</v>
      </c>
      <c r="B2" s="7">
        <v>42423</v>
      </c>
      <c r="C2" s="13"/>
      <c r="D2" s="8" t="s">
        <v>45</v>
      </c>
      <c r="E2" s="5" t="str">
        <f>VLOOKUP(D2,'method codes'!$A$2:$B$11,2,FALSE)</f>
        <v>Hand</v>
      </c>
      <c r="F2" s="8" t="s">
        <v>18</v>
      </c>
      <c r="G2" s="8" t="str">
        <f t="shared" ref="G2:G4" si="0">LEFT(F2,2)</f>
        <v>P1</v>
      </c>
      <c r="H2" s="8" t="str">
        <f>IF(G2="P3","P2",G2)</f>
        <v>P1</v>
      </c>
      <c r="I2" s="8" t="s">
        <v>15</v>
      </c>
      <c r="J2" s="8" t="str">
        <f>VLOOKUP(I2,'species codes'!$A$2:$B$17,2,FALSE)</f>
        <v>Bullfrog</v>
      </c>
      <c r="K2" s="5">
        <v>40</v>
      </c>
      <c r="L2" s="8">
        <v>1</v>
      </c>
      <c r="O2" s="8" t="str">
        <f t="shared" ref="O2:O33" si="1">A2&amp;E2</f>
        <v>42401Hand</v>
      </c>
      <c r="P2" s="5" t="str">
        <f>RIGHT(O2,LEN(O2)-5)</f>
        <v>Hand</v>
      </c>
      <c r="Q2" s="5" t="e">
        <f>SEARCH(" ",J2)</f>
        <v>#VALUE!</v>
      </c>
      <c r="R2" s="8" t="e">
        <f>MID(J2,Q2+1,LEN(J2)-Q2)</f>
        <v>#VALUE!</v>
      </c>
      <c r="S2" s="5">
        <v>1</v>
      </c>
      <c r="U2" s="5" t="s">
        <v>15</v>
      </c>
      <c r="V2" s="5">
        <f t="array" ref="V2">MAX(IF($I$2:$I$96=U2,1)*($K$2:$K$96))</f>
        <v>198</v>
      </c>
      <c r="W2" s="5">
        <f>SUMIF($I$2:$I$96,U2,$L$2:$L$96)</f>
        <v>6</v>
      </c>
    </row>
    <row r="3" spans="1:23" x14ac:dyDescent="0.25">
      <c r="A3" s="6">
        <v>42401</v>
      </c>
      <c r="B3" s="7">
        <v>42423</v>
      </c>
      <c r="C3" s="7"/>
      <c r="D3" s="8" t="s">
        <v>26</v>
      </c>
      <c r="E3" s="5" t="str">
        <f>VLOOKUP(D3,'method codes'!$A$2:$B$11,2,FALSE)</f>
        <v>Trap</v>
      </c>
      <c r="F3" s="8" t="s">
        <v>21</v>
      </c>
      <c r="G3" s="8" t="str">
        <f t="shared" si="0"/>
        <v>P3</v>
      </c>
      <c r="H3" s="8"/>
      <c r="I3" s="8" t="s">
        <v>42</v>
      </c>
      <c r="J3" s="8" t="str">
        <f>VLOOKUP(I3,'species codes'!$A$2:$B$17,2,FALSE)</f>
        <v>African clawed frog</v>
      </c>
      <c r="K3" s="8">
        <v>95</v>
      </c>
      <c r="L3" s="8">
        <v>1</v>
      </c>
      <c r="M3" s="8" t="s">
        <v>50</v>
      </c>
      <c r="N3" s="8" t="s">
        <v>38</v>
      </c>
      <c r="O3" s="8" t="str">
        <f t="shared" si="1"/>
        <v>42401Trap</v>
      </c>
      <c r="P3" s="5" t="str">
        <f>RIGHT(O3,LEN(O3)-5)</f>
        <v>Trap</v>
      </c>
      <c r="Q3" s="5">
        <f>SEARCH(" ",J3)</f>
        <v>8</v>
      </c>
      <c r="R3" s="8" t="str">
        <f>MID(J3,Q3+1,LEN(J3)-Q3)</f>
        <v>clawed frog</v>
      </c>
      <c r="S3" s="5">
        <f t="shared" ref="S3:S34" si="2">IF(G3=G2,S2,-S2)</f>
        <v>-1</v>
      </c>
      <c r="U3" s="5" t="s">
        <v>42</v>
      </c>
      <c r="W3" s="5">
        <f t="shared" ref="W3:W4" si="3">SUMIF($I$2:$I$96,U3,$L$2:$L$96)</f>
        <v>7</v>
      </c>
    </row>
    <row r="4" spans="1:23" x14ac:dyDescent="0.25">
      <c r="A4" s="6">
        <v>42401</v>
      </c>
      <c r="B4" s="7">
        <v>42423</v>
      </c>
      <c r="C4" s="7"/>
      <c r="D4" s="8" t="s">
        <v>26</v>
      </c>
      <c r="E4" s="5" t="str">
        <f>VLOOKUP(D4,'method codes'!$A$2:$B$11,2,FALSE)</f>
        <v>Trap</v>
      </c>
      <c r="F4" s="8" t="s">
        <v>21</v>
      </c>
      <c r="G4" s="8" t="str">
        <f t="shared" si="0"/>
        <v>P3</v>
      </c>
      <c r="H4" s="8"/>
      <c r="I4" s="8" t="s">
        <v>42</v>
      </c>
      <c r="J4" s="8" t="str">
        <f>VLOOKUP(I4,'species codes'!$A$2:$B$17,2,FALSE)</f>
        <v>African clawed frog</v>
      </c>
      <c r="K4" s="8">
        <v>78</v>
      </c>
      <c r="L4" s="8">
        <v>1</v>
      </c>
      <c r="M4" s="8" t="s">
        <v>50</v>
      </c>
      <c r="N4" s="8" t="s">
        <v>39</v>
      </c>
      <c r="O4" s="8" t="str">
        <f t="shared" si="1"/>
        <v>42401Trap</v>
      </c>
      <c r="Q4" s="5">
        <f>SEARCH(" ",J4)</f>
        <v>8</v>
      </c>
      <c r="R4" s="8" t="str">
        <f>MID(J4,Q4+1,LEN(J4)-Q4)</f>
        <v>clawed frog</v>
      </c>
      <c r="S4" s="5">
        <f t="shared" si="2"/>
        <v>-1</v>
      </c>
      <c r="U4" s="5" t="s">
        <v>20</v>
      </c>
      <c r="W4" s="5">
        <f t="shared" si="3"/>
        <v>4</v>
      </c>
    </row>
    <row r="5" spans="1:23" x14ac:dyDescent="0.25">
      <c r="A5" s="6">
        <v>42401</v>
      </c>
      <c r="B5" s="7">
        <v>42424</v>
      </c>
      <c r="C5" s="7"/>
      <c r="D5" s="8" t="s">
        <v>26</v>
      </c>
      <c r="E5" s="5" t="str">
        <f>VLOOKUP(D5,'method codes'!$A$2:$B$11,2,FALSE)</f>
        <v>Trap</v>
      </c>
      <c r="F5" s="8" t="s">
        <v>21</v>
      </c>
      <c r="G5" s="8" t="s">
        <v>21</v>
      </c>
      <c r="H5" s="8"/>
      <c r="I5" s="8" t="s">
        <v>30</v>
      </c>
      <c r="J5" s="8" t="str">
        <f>VLOOKUP(I5,'species codes'!$A$2:$B$17,2,FALSE)</f>
        <v>Red swamp crayfish</v>
      </c>
      <c r="L5" s="8">
        <v>1</v>
      </c>
      <c r="M5" s="5" t="s">
        <v>50</v>
      </c>
      <c r="O5" s="8" t="str">
        <f t="shared" si="1"/>
        <v>42401Trap</v>
      </c>
      <c r="Q5" s="5">
        <f>SEARCH(" ",J5)</f>
        <v>4</v>
      </c>
      <c r="R5" s="8" t="str">
        <f>MID(J5,Q5+1,LEN(J5)-Q5)</f>
        <v>swamp crayfish</v>
      </c>
      <c r="S5" s="5">
        <f t="shared" si="2"/>
        <v>-1</v>
      </c>
    </row>
    <row r="6" spans="1:23" x14ac:dyDescent="0.25">
      <c r="A6" s="6">
        <v>42401</v>
      </c>
      <c r="B6" s="7">
        <v>42424</v>
      </c>
      <c r="C6" s="7"/>
      <c r="D6" s="8" t="s">
        <v>26</v>
      </c>
      <c r="E6" s="5" t="str">
        <f>VLOOKUP(D6,'method codes'!$A$2:$B$11,2,FALSE)</f>
        <v>Trap</v>
      </c>
      <c r="F6" s="8" t="s">
        <v>21</v>
      </c>
      <c r="G6" s="8" t="s">
        <v>21</v>
      </c>
      <c r="H6" s="8"/>
      <c r="I6" s="8" t="s">
        <v>30</v>
      </c>
      <c r="J6" s="8" t="str">
        <f>VLOOKUP(I6,'species codes'!$A$2:$B$17,2,FALSE)</f>
        <v>Red swamp crayfish</v>
      </c>
      <c r="L6" s="8">
        <v>2</v>
      </c>
      <c r="M6" s="8" t="s">
        <v>52</v>
      </c>
      <c r="O6" s="8" t="str">
        <f t="shared" si="1"/>
        <v>42401Trap</v>
      </c>
      <c r="Q6" s="5">
        <f>SEARCH(" ",J6)</f>
        <v>4</v>
      </c>
      <c r="R6" s="8" t="str">
        <f>MID(J6,Q6+1,LEN(J6)-Q6)</f>
        <v>swamp crayfish</v>
      </c>
      <c r="S6" s="5">
        <f t="shared" si="2"/>
        <v>-1</v>
      </c>
    </row>
    <row r="7" spans="1:23" x14ac:dyDescent="0.25">
      <c r="A7" s="6">
        <v>42401</v>
      </c>
      <c r="B7" s="7">
        <v>42424</v>
      </c>
      <c r="C7" s="7"/>
      <c r="D7" s="8" t="s">
        <v>26</v>
      </c>
      <c r="E7" s="5" t="str">
        <f>VLOOKUP(D7,'method codes'!$A$2:$B$11,2,FALSE)</f>
        <v>Trap</v>
      </c>
      <c r="F7" s="8" t="s">
        <v>21</v>
      </c>
      <c r="G7" s="8" t="s">
        <v>21</v>
      </c>
      <c r="H7" s="8"/>
      <c r="I7" s="8" t="s">
        <v>42</v>
      </c>
      <c r="J7" s="8" t="str">
        <f>VLOOKUP(I7,'species codes'!$A$2:$B$17,2,FALSE)</f>
        <v>African clawed frog</v>
      </c>
      <c r="K7" s="8">
        <v>108</v>
      </c>
      <c r="L7" s="8">
        <v>1</v>
      </c>
      <c r="M7" s="8" t="s">
        <v>53</v>
      </c>
      <c r="N7" s="8" t="s">
        <v>38</v>
      </c>
      <c r="O7" s="8" t="str">
        <f t="shared" si="1"/>
        <v>42401Trap</v>
      </c>
      <c r="Q7" s="8"/>
      <c r="S7" s="5">
        <f t="shared" si="2"/>
        <v>-1</v>
      </c>
    </row>
    <row r="8" spans="1:23" x14ac:dyDescent="0.25">
      <c r="A8" s="6">
        <v>42401</v>
      </c>
      <c r="B8" s="7">
        <v>42424</v>
      </c>
      <c r="C8" s="7"/>
      <c r="D8" s="8" t="s">
        <v>26</v>
      </c>
      <c r="E8" s="5" t="str">
        <f>VLOOKUP(D8,'method codes'!$A$2:$B$11,2,FALSE)</f>
        <v>Trap</v>
      </c>
      <c r="F8" s="8" t="s">
        <v>21</v>
      </c>
      <c r="G8" s="8" t="s">
        <v>21</v>
      </c>
      <c r="H8" s="8"/>
      <c r="I8" s="8" t="s">
        <v>30</v>
      </c>
      <c r="J8" s="8" t="str">
        <f>VLOOKUP(I8,'species codes'!$A$2:$B$17,2,FALSE)</f>
        <v>Red swamp crayfish</v>
      </c>
      <c r="L8" s="8">
        <v>1</v>
      </c>
      <c r="M8" s="8" t="s">
        <v>53</v>
      </c>
      <c r="O8" s="8" t="str">
        <f t="shared" si="1"/>
        <v>42401Trap</v>
      </c>
      <c r="Q8" s="8"/>
      <c r="S8" s="5">
        <f t="shared" si="2"/>
        <v>-1</v>
      </c>
    </row>
    <row r="9" spans="1:23" x14ac:dyDescent="0.25">
      <c r="A9" s="6">
        <v>42401</v>
      </c>
      <c r="B9" s="7">
        <v>42424</v>
      </c>
      <c r="C9" s="7"/>
      <c r="D9" s="8" t="s">
        <v>26</v>
      </c>
      <c r="E9" s="5" t="str">
        <f>VLOOKUP(D9,'method codes'!$A$2:$B$11,2,FALSE)</f>
        <v>Trap</v>
      </c>
      <c r="F9" s="8" t="s">
        <v>21</v>
      </c>
      <c r="G9" s="8" t="s">
        <v>21</v>
      </c>
      <c r="H9" s="8"/>
      <c r="I9" s="8" t="s">
        <v>30</v>
      </c>
      <c r="J9" s="8" t="str">
        <f>VLOOKUP(I9,'species codes'!$A$2:$B$17,2,FALSE)</f>
        <v>Red swamp crayfish</v>
      </c>
      <c r="L9" s="8">
        <v>3</v>
      </c>
      <c r="M9" s="8" t="s">
        <v>54</v>
      </c>
      <c r="O9" s="8" t="str">
        <f t="shared" si="1"/>
        <v>42401Trap</v>
      </c>
      <c r="Q9" s="8"/>
      <c r="S9" s="5">
        <f t="shared" si="2"/>
        <v>-1</v>
      </c>
    </row>
    <row r="10" spans="1:23" x14ac:dyDescent="0.25">
      <c r="A10" s="6">
        <v>42401</v>
      </c>
      <c r="B10" s="7">
        <v>42424</v>
      </c>
      <c r="C10" s="7"/>
      <c r="D10" s="8" t="s">
        <v>26</v>
      </c>
      <c r="E10" s="5" t="str">
        <f>VLOOKUP(D10,'method codes'!$A$2:$B$11,2,FALSE)</f>
        <v>Trap</v>
      </c>
      <c r="F10" s="8" t="s">
        <v>21</v>
      </c>
      <c r="G10" s="8" t="s">
        <v>21</v>
      </c>
      <c r="H10" s="8"/>
      <c r="I10" s="8" t="s">
        <v>30</v>
      </c>
      <c r="J10" s="8" t="str">
        <f>VLOOKUP(I10,'species codes'!$A$2:$B$17,2,FALSE)</f>
        <v>Red swamp crayfish</v>
      </c>
      <c r="L10" s="8">
        <v>5</v>
      </c>
      <c r="M10" s="8" t="s">
        <v>55</v>
      </c>
      <c r="O10" s="8" t="str">
        <f t="shared" si="1"/>
        <v>42401Trap</v>
      </c>
      <c r="S10" s="5">
        <f t="shared" si="2"/>
        <v>-1</v>
      </c>
    </row>
    <row r="11" spans="1:23" x14ac:dyDescent="0.25">
      <c r="A11" s="6">
        <v>42401</v>
      </c>
      <c r="B11" s="7">
        <v>42424</v>
      </c>
      <c r="C11" s="7"/>
      <c r="D11" s="8" t="s">
        <v>26</v>
      </c>
      <c r="E11" s="5" t="str">
        <f>VLOOKUP(D11,'method codes'!$A$2:$B$11,2,FALSE)</f>
        <v>Trap</v>
      </c>
      <c r="F11" s="8" t="s">
        <v>21</v>
      </c>
      <c r="G11" s="8" t="s">
        <v>21</v>
      </c>
      <c r="H11" s="8"/>
      <c r="I11" s="8" t="s">
        <v>30</v>
      </c>
      <c r="J11" s="8" t="str">
        <f>VLOOKUP(I11,'species codes'!$A$2:$B$17,2,FALSE)</f>
        <v>Red swamp crayfish</v>
      </c>
      <c r="L11" s="8">
        <v>4</v>
      </c>
      <c r="M11" s="8" t="s">
        <v>56</v>
      </c>
      <c r="O11" s="8" t="str">
        <f t="shared" si="1"/>
        <v>42401Trap</v>
      </c>
      <c r="S11" s="5">
        <f t="shared" si="2"/>
        <v>-1</v>
      </c>
    </row>
    <row r="12" spans="1:23" x14ac:dyDescent="0.25">
      <c r="A12" s="6">
        <v>42401</v>
      </c>
      <c r="B12" s="7">
        <v>42424</v>
      </c>
      <c r="C12" s="7"/>
      <c r="D12" s="8" t="s">
        <v>26</v>
      </c>
      <c r="E12" s="5" t="str">
        <f>VLOOKUP(D12,'method codes'!$A$2:$B$11,2,FALSE)</f>
        <v>Trap</v>
      </c>
      <c r="F12" s="8" t="s">
        <v>31</v>
      </c>
      <c r="G12" s="8" t="s">
        <v>22</v>
      </c>
      <c r="H12" s="8"/>
      <c r="I12" s="8" t="s">
        <v>30</v>
      </c>
      <c r="J12" s="8" t="str">
        <f>VLOOKUP(I12,'species codes'!$A$2:$B$17,2,FALSE)</f>
        <v>Red swamp crayfish</v>
      </c>
      <c r="L12" s="8">
        <v>1</v>
      </c>
      <c r="M12" s="8" t="s">
        <v>57</v>
      </c>
      <c r="O12" s="8" t="str">
        <f t="shared" si="1"/>
        <v>42401Trap</v>
      </c>
      <c r="S12" s="5">
        <f t="shared" si="2"/>
        <v>1</v>
      </c>
    </row>
    <row r="13" spans="1:23" x14ac:dyDescent="0.25">
      <c r="A13" s="6">
        <v>42401</v>
      </c>
      <c r="B13" s="7">
        <v>42424</v>
      </c>
      <c r="C13" s="7"/>
      <c r="D13" s="8" t="s">
        <v>26</v>
      </c>
      <c r="E13" s="5" t="str">
        <f>VLOOKUP(D13,'method codes'!$A$2:$B$11,2,FALSE)</f>
        <v>Trap</v>
      </c>
      <c r="F13" s="8" t="s">
        <v>36</v>
      </c>
      <c r="G13" s="8" t="s">
        <v>14</v>
      </c>
      <c r="H13" s="8"/>
      <c r="I13" s="8" t="s">
        <v>30</v>
      </c>
      <c r="J13" s="8" t="str">
        <f>VLOOKUP(I13,'species codes'!$A$2:$B$17,2,FALSE)</f>
        <v>Red swamp crayfish</v>
      </c>
      <c r="L13" s="8">
        <v>1</v>
      </c>
      <c r="M13" s="8" t="s">
        <v>58</v>
      </c>
      <c r="O13" s="8" t="str">
        <f t="shared" si="1"/>
        <v>42401Trap</v>
      </c>
      <c r="S13" s="5">
        <f t="shared" si="2"/>
        <v>-1</v>
      </c>
    </row>
    <row r="14" spans="1:23" x14ac:dyDescent="0.25">
      <c r="A14" s="6">
        <v>42401</v>
      </c>
      <c r="B14" s="7">
        <v>42424</v>
      </c>
      <c r="C14" s="7"/>
      <c r="D14" s="8" t="s">
        <v>26</v>
      </c>
      <c r="E14" s="5" t="str">
        <f>VLOOKUP(D14,'method codes'!$A$2:$B$11,2,FALSE)</f>
        <v>Trap</v>
      </c>
      <c r="F14" s="8" t="s">
        <v>36</v>
      </c>
      <c r="G14" s="8" t="s">
        <v>14</v>
      </c>
      <c r="H14" s="8"/>
      <c r="I14" s="8" t="s">
        <v>30</v>
      </c>
      <c r="J14" s="8" t="str">
        <f>VLOOKUP(I14,'species codes'!$A$2:$B$17,2,FALSE)</f>
        <v>Red swamp crayfish</v>
      </c>
      <c r="L14" s="8">
        <v>1</v>
      </c>
      <c r="M14" s="8" t="s">
        <v>59</v>
      </c>
      <c r="O14" s="8" t="str">
        <f t="shared" si="1"/>
        <v>42401Trap</v>
      </c>
      <c r="S14" s="5">
        <f t="shared" si="2"/>
        <v>-1</v>
      </c>
    </row>
    <row r="15" spans="1:23" x14ac:dyDescent="0.25">
      <c r="A15" s="6">
        <v>42401</v>
      </c>
      <c r="B15" s="7">
        <v>42424</v>
      </c>
      <c r="C15" s="7"/>
      <c r="D15" s="8" t="s">
        <v>26</v>
      </c>
      <c r="E15" s="5" t="str">
        <f>VLOOKUP(D15,'method codes'!$A$2:$B$11,2,FALSE)</f>
        <v>Trap</v>
      </c>
      <c r="F15" s="8" t="s">
        <v>18</v>
      </c>
      <c r="G15" s="8" t="s">
        <v>14</v>
      </c>
      <c r="H15" s="8"/>
      <c r="I15" s="8" t="s">
        <v>20</v>
      </c>
      <c r="J15" s="8" t="str">
        <f>VLOOKUP(I15,'species codes'!$A$2:$B$17,2,FALSE)</f>
        <v>Largemouth bass</v>
      </c>
      <c r="K15" s="5">
        <v>80</v>
      </c>
      <c r="L15" s="8">
        <v>1</v>
      </c>
      <c r="M15" s="8" t="s">
        <v>61</v>
      </c>
      <c r="O15" s="8" t="str">
        <f t="shared" si="1"/>
        <v>42401Trap</v>
      </c>
      <c r="S15" s="5">
        <f t="shared" si="2"/>
        <v>-1</v>
      </c>
    </row>
    <row r="16" spans="1:23" x14ac:dyDescent="0.25">
      <c r="A16" s="6">
        <v>42401</v>
      </c>
      <c r="B16" s="7">
        <v>42424</v>
      </c>
      <c r="C16" s="7"/>
      <c r="D16" s="8" t="s">
        <v>19</v>
      </c>
      <c r="E16" s="5" t="str">
        <f>VLOOKUP(D16,'method codes'!$A$2:$B$11,2,FALSE)</f>
        <v>Net</v>
      </c>
      <c r="F16" s="8" t="s">
        <v>14</v>
      </c>
      <c r="G16" s="8" t="s">
        <v>14</v>
      </c>
      <c r="H16" s="8"/>
      <c r="I16" s="8" t="s">
        <v>20</v>
      </c>
      <c r="J16" s="8" t="str">
        <f>VLOOKUP(I16,'species codes'!$A$2:$B$17,2,FALSE)</f>
        <v>Largemouth bass</v>
      </c>
      <c r="K16" s="5">
        <v>275</v>
      </c>
      <c r="L16" s="8">
        <v>1</v>
      </c>
      <c r="M16" s="8"/>
      <c r="O16" s="8" t="str">
        <f t="shared" si="1"/>
        <v>42401Net</v>
      </c>
      <c r="S16" s="5">
        <f t="shared" si="2"/>
        <v>-1</v>
      </c>
    </row>
    <row r="17" spans="1:19" x14ac:dyDescent="0.25">
      <c r="A17" s="6">
        <v>42401</v>
      </c>
      <c r="B17" s="7">
        <v>42425</v>
      </c>
      <c r="C17" s="7"/>
      <c r="D17" s="8" t="s">
        <v>26</v>
      </c>
      <c r="E17" s="5" t="str">
        <f>VLOOKUP(D17,'method codes'!$A$2:$B$11,2,FALSE)</f>
        <v>Trap</v>
      </c>
      <c r="F17" s="8" t="s">
        <v>21</v>
      </c>
      <c r="G17" s="8" t="s">
        <v>21</v>
      </c>
      <c r="H17" s="8"/>
      <c r="I17" s="8" t="s">
        <v>42</v>
      </c>
      <c r="J17" s="8" t="str">
        <f>VLOOKUP(I17,'species codes'!$A$2:$B$17,2,FALSE)</f>
        <v>African clawed frog</v>
      </c>
      <c r="K17" s="5">
        <v>70</v>
      </c>
      <c r="L17" s="8">
        <v>1</v>
      </c>
      <c r="M17" s="8" t="s">
        <v>50</v>
      </c>
      <c r="N17" s="5" t="s">
        <v>39</v>
      </c>
      <c r="O17" s="8" t="str">
        <f t="shared" si="1"/>
        <v>42401Trap</v>
      </c>
      <c r="S17" s="5">
        <f t="shared" si="2"/>
        <v>1</v>
      </c>
    </row>
    <row r="18" spans="1:19" x14ac:dyDescent="0.25">
      <c r="A18" s="6">
        <v>42401</v>
      </c>
      <c r="B18" s="7">
        <v>42425</v>
      </c>
      <c r="C18" s="7"/>
      <c r="D18" s="8" t="s">
        <v>26</v>
      </c>
      <c r="E18" s="5" t="str">
        <f>VLOOKUP(D18,'method codes'!$A$2:$B$11,2,FALSE)</f>
        <v>Trap</v>
      </c>
      <c r="F18" s="8" t="s">
        <v>21</v>
      </c>
      <c r="G18" s="8" t="s">
        <v>21</v>
      </c>
      <c r="H18" s="8"/>
      <c r="I18" s="8" t="s">
        <v>30</v>
      </c>
      <c r="J18" s="8" t="str">
        <f>VLOOKUP(I18,'species codes'!$A$2:$B$17,2,FALSE)</f>
        <v>Red swamp crayfish</v>
      </c>
      <c r="L18" s="8">
        <v>1</v>
      </c>
      <c r="M18" s="8" t="s">
        <v>50</v>
      </c>
      <c r="O18" s="8" t="str">
        <f t="shared" si="1"/>
        <v>42401Trap</v>
      </c>
      <c r="S18" s="5">
        <f t="shared" si="2"/>
        <v>1</v>
      </c>
    </row>
    <row r="19" spans="1:19" x14ac:dyDescent="0.25">
      <c r="A19" s="6">
        <v>42401</v>
      </c>
      <c r="B19" s="7">
        <v>42425</v>
      </c>
      <c r="C19" s="7"/>
      <c r="D19" s="8" t="s">
        <v>26</v>
      </c>
      <c r="E19" s="5" t="str">
        <f>VLOOKUP(D19,'method codes'!$A$2:$B$11,2,FALSE)</f>
        <v>Trap</v>
      </c>
      <c r="F19" s="8" t="s">
        <v>21</v>
      </c>
      <c r="G19" s="8" t="s">
        <v>21</v>
      </c>
      <c r="H19" s="8"/>
      <c r="I19" s="8" t="s">
        <v>30</v>
      </c>
      <c r="J19" s="8" t="str">
        <f>VLOOKUP(I19,'species codes'!$A$2:$B$17,2,FALSE)</f>
        <v>Red swamp crayfish</v>
      </c>
      <c r="L19" s="8">
        <v>3</v>
      </c>
      <c r="M19" s="8" t="s">
        <v>52</v>
      </c>
      <c r="O19" s="8" t="str">
        <f t="shared" si="1"/>
        <v>42401Trap</v>
      </c>
      <c r="S19" s="5">
        <f t="shared" si="2"/>
        <v>1</v>
      </c>
    </row>
    <row r="20" spans="1:19" x14ac:dyDescent="0.25">
      <c r="A20" s="6">
        <v>42401</v>
      </c>
      <c r="B20" s="7">
        <v>42425</v>
      </c>
      <c r="C20" s="7"/>
      <c r="D20" s="8" t="s">
        <v>26</v>
      </c>
      <c r="E20" s="5" t="str">
        <f>VLOOKUP(D20,'method codes'!$A$2:$B$11,2,FALSE)</f>
        <v>Trap</v>
      </c>
      <c r="F20" s="8" t="s">
        <v>21</v>
      </c>
      <c r="G20" s="8" t="s">
        <v>21</v>
      </c>
      <c r="H20" s="8"/>
      <c r="I20" s="8" t="s">
        <v>30</v>
      </c>
      <c r="J20" s="8" t="str">
        <f>VLOOKUP(I20,'species codes'!$A$2:$B$17,2,FALSE)</f>
        <v>Red swamp crayfish</v>
      </c>
      <c r="L20" s="8">
        <v>3</v>
      </c>
      <c r="M20" s="8" t="s">
        <v>52</v>
      </c>
      <c r="O20" s="8" t="str">
        <f t="shared" si="1"/>
        <v>42401Trap</v>
      </c>
      <c r="S20" s="5">
        <f t="shared" si="2"/>
        <v>1</v>
      </c>
    </row>
    <row r="21" spans="1:19" x14ac:dyDescent="0.25">
      <c r="A21" s="6">
        <v>42401</v>
      </c>
      <c r="B21" s="7">
        <v>42425</v>
      </c>
      <c r="C21" s="7"/>
      <c r="D21" s="8" t="s">
        <v>26</v>
      </c>
      <c r="E21" s="5" t="str">
        <f>VLOOKUP(D21,'method codes'!$A$2:$B$11,2,FALSE)</f>
        <v>Trap</v>
      </c>
      <c r="F21" s="8" t="s">
        <v>21</v>
      </c>
      <c r="G21" s="8" t="s">
        <v>21</v>
      </c>
      <c r="H21" s="8"/>
      <c r="I21" s="8" t="s">
        <v>42</v>
      </c>
      <c r="J21" s="8" t="str">
        <f>VLOOKUP(I21,'species codes'!$A$2:$B$17,2,FALSE)</f>
        <v>African clawed frog</v>
      </c>
      <c r="K21" s="5">
        <v>75</v>
      </c>
      <c r="L21" s="8">
        <v>1</v>
      </c>
      <c r="M21" s="8" t="s">
        <v>55</v>
      </c>
      <c r="N21" s="8" t="s">
        <v>39</v>
      </c>
      <c r="O21" s="8" t="str">
        <f t="shared" si="1"/>
        <v>42401Trap</v>
      </c>
      <c r="S21" s="5">
        <f t="shared" si="2"/>
        <v>1</v>
      </c>
    </row>
    <row r="22" spans="1:19" x14ac:dyDescent="0.25">
      <c r="A22" s="6">
        <v>42401</v>
      </c>
      <c r="B22" s="7">
        <v>42425</v>
      </c>
      <c r="C22" s="7"/>
      <c r="D22" s="8" t="s">
        <v>26</v>
      </c>
      <c r="E22" s="5" t="str">
        <f>VLOOKUP(D22,'method codes'!$A$2:$B$11,2,FALSE)</f>
        <v>Trap</v>
      </c>
      <c r="F22" s="8" t="s">
        <v>21</v>
      </c>
      <c r="G22" s="8" t="s">
        <v>21</v>
      </c>
      <c r="H22" s="8"/>
      <c r="I22" s="8" t="s">
        <v>30</v>
      </c>
      <c r="J22" s="8" t="str">
        <f>VLOOKUP(I22,'species codes'!$A$2:$B$17,2,FALSE)</f>
        <v>Red swamp crayfish</v>
      </c>
      <c r="L22" s="8">
        <v>1</v>
      </c>
      <c r="M22" s="8" t="s">
        <v>55</v>
      </c>
      <c r="O22" s="8" t="str">
        <f t="shared" si="1"/>
        <v>42401Trap</v>
      </c>
      <c r="S22" s="5">
        <f t="shared" si="2"/>
        <v>1</v>
      </c>
    </row>
    <row r="23" spans="1:19" x14ac:dyDescent="0.25">
      <c r="A23" s="6">
        <v>42401</v>
      </c>
      <c r="B23" s="7">
        <v>42425</v>
      </c>
      <c r="C23" s="7"/>
      <c r="D23" s="8" t="s">
        <v>26</v>
      </c>
      <c r="E23" s="5" t="str">
        <f>VLOOKUP(D23,'method codes'!$A$2:$B$11,2,FALSE)</f>
        <v>Trap</v>
      </c>
      <c r="F23" s="8" t="s">
        <v>21</v>
      </c>
      <c r="G23" s="8" t="s">
        <v>21</v>
      </c>
      <c r="H23" s="8"/>
      <c r="I23" s="8" t="s">
        <v>30</v>
      </c>
      <c r="J23" s="8" t="str">
        <f>VLOOKUP(I23,'species codes'!$A$2:$B$17,2,FALSE)</f>
        <v>Red swamp crayfish</v>
      </c>
      <c r="L23" s="8">
        <v>1</v>
      </c>
      <c r="M23" s="8" t="s">
        <v>56</v>
      </c>
      <c r="O23" s="8" t="str">
        <f t="shared" si="1"/>
        <v>42401Trap</v>
      </c>
      <c r="S23" s="5">
        <f t="shared" si="2"/>
        <v>1</v>
      </c>
    </row>
    <row r="24" spans="1:19" x14ac:dyDescent="0.25">
      <c r="A24" s="6">
        <v>42401</v>
      </c>
      <c r="B24" s="7">
        <v>42425</v>
      </c>
      <c r="C24" s="7"/>
      <c r="D24" s="8" t="s">
        <v>19</v>
      </c>
      <c r="E24" s="5" t="str">
        <f>VLOOKUP(D24,'method codes'!$A$2:$B$11,2,FALSE)</f>
        <v>Net</v>
      </c>
      <c r="F24" s="8" t="s">
        <v>14</v>
      </c>
      <c r="G24" s="8" t="s">
        <v>14</v>
      </c>
      <c r="H24" s="8"/>
      <c r="I24" s="8" t="s">
        <v>20</v>
      </c>
      <c r="J24" s="8" t="str">
        <f>VLOOKUP(I24,'species codes'!$A$2:$B$17,2,FALSE)</f>
        <v>Largemouth bass</v>
      </c>
      <c r="K24" s="5">
        <v>185</v>
      </c>
      <c r="L24" s="8">
        <v>1</v>
      </c>
      <c r="O24" s="8" t="str">
        <f t="shared" si="1"/>
        <v>42401Net</v>
      </c>
      <c r="S24" s="5">
        <f t="shared" si="2"/>
        <v>-1</v>
      </c>
    </row>
    <row r="25" spans="1:19" x14ac:dyDescent="0.25">
      <c r="A25" s="6">
        <v>42401</v>
      </c>
      <c r="B25" s="7">
        <v>42425</v>
      </c>
      <c r="C25" s="7"/>
      <c r="D25" s="8" t="s">
        <v>19</v>
      </c>
      <c r="E25" s="5" t="str">
        <f>VLOOKUP(D25,'method codes'!$A$2:$B$11,2,FALSE)</f>
        <v>Net</v>
      </c>
      <c r="F25" s="8" t="s">
        <v>14</v>
      </c>
      <c r="G25" s="8" t="s">
        <v>14</v>
      </c>
      <c r="H25" s="8"/>
      <c r="I25" s="8" t="s">
        <v>34</v>
      </c>
      <c r="J25" s="8" t="str">
        <f>VLOOKUP(I25,'species codes'!$A$2:$B$17,2,FALSE)</f>
        <v>Bluegill sunfish</v>
      </c>
      <c r="K25" s="5">
        <v>138</v>
      </c>
      <c r="L25" s="8">
        <v>1</v>
      </c>
      <c r="O25" s="8" t="str">
        <f t="shared" si="1"/>
        <v>42401Net</v>
      </c>
      <c r="S25" s="5">
        <f t="shared" si="2"/>
        <v>-1</v>
      </c>
    </row>
    <row r="26" spans="1:19" x14ac:dyDescent="0.25">
      <c r="A26" s="6">
        <v>42401</v>
      </c>
      <c r="B26" s="7">
        <v>42425</v>
      </c>
      <c r="C26" s="7"/>
      <c r="D26" s="8" t="s">
        <v>17</v>
      </c>
      <c r="E26" s="5" t="str">
        <f>VLOOKUP(D26,'method codes'!$A$2:$B$11,2,FALSE)</f>
        <v>Crossbow</v>
      </c>
      <c r="F26" s="8" t="s">
        <v>31</v>
      </c>
      <c r="G26" s="8" t="s">
        <v>22</v>
      </c>
      <c r="H26" s="8"/>
      <c r="I26" s="8" t="s">
        <v>15</v>
      </c>
      <c r="J26" s="8" t="str">
        <f>VLOOKUP(I26,'species codes'!$A$2:$B$17,2,FALSE)</f>
        <v>Bullfrog</v>
      </c>
      <c r="K26" s="5">
        <v>187</v>
      </c>
      <c r="L26" s="8">
        <v>1</v>
      </c>
      <c r="N26" s="5" t="s">
        <v>38</v>
      </c>
      <c r="O26" s="8" t="str">
        <f t="shared" si="1"/>
        <v>42401Crossbow</v>
      </c>
      <c r="S26" s="5">
        <f t="shared" si="2"/>
        <v>1</v>
      </c>
    </row>
    <row r="27" spans="1:19" x14ac:dyDescent="0.25">
      <c r="A27" s="6">
        <v>42401</v>
      </c>
      <c r="B27" s="7">
        <v>42425</v>
      </c>
      <c r="C27" s="7"/>
      <c r="D27" s="8" t="s">
        <v>17</v>
      </c>
      <c r="E27" s="5" t="str">
        <f>VLOOKUP(D27,'method codes'!$A$2:$B$11,2,FALSE)</f>
        <v>Crossbow</v>
      </c>
      <c r="F27" s="8" t="s">
        <v>18</v>
      </c>
      <c r="G27" s="8" t="s">
        <v>14</v>
      </c>
      <c r="H27" s="8"/>
      <c r="I27" s="8" t="s">
        <v>15</v>
      </c>
      <c r="J27" s="8" t="str">
        <f>VLOOKUP(I27,'species codes'!$A$2:$B$17,2,FALSE)</f>
        <v>Bullfrog</v>
      </c>
      <c r="K27" s="5">
        <v>198</v>
      </c>
      <c r="L27" s="8">
        <v>1</v>
      </c>
      <c r="N27" s="5" t="s">
        <v>38</v>
      </c>
      <c r="O27" s="8" t="str">
        <f t="shared" si="1"/>
        <v>42401Crossbow</v>
      </c>
      <c r="S27" s="5">
        <f t="shared" si="2"/>
        <v>-1</v>
      </c>
    </row>
    <row r="28" spans="1:19" x14ac:dyDescent="0.25">
      <c r="A28" s="6">
        <v>42401</v>
      </c>
      <c r="B28" s="7">
        <v>42425</v>
      </c>
      <c r="C28" s="7"/>
      <c r="D28" s="8" t="s">
        <v>13</v>
      </c>
      <c r="E28" s="5" t="str">
        <f>VLOOKUP(D28,'method codes'!$A$2:$B$11,2,FALSE)</f>
        <v>Gig</v>
      </c>
      <c r="F28" s="8" t="s">
        <v>18</v>
      </c>
      <c r="G28" s="8" t="s">
        <v>14</v>
      </c>
      <c r="H28" s="8"/>
      <c r="I28" s="8" t="s">
        <v>15</v>
      </c>
      <c r="J28" s="8" t="str">
        <f>VLOOKUP(I28,'species codes'!$A$2:$B$17,2,FALSE)</f>
        <v>Bullfrog</v>
      </c>
      <c r="K28" s="5">
        <v>105</v>
      </c>
      <c r="L28" s="8">
        <v>1</v>
      </c>
      <c r="N28" s="5" t="s">
        <v>38</v>
      </c>
      <c r="O28" s="8" t="str">
        <f t="shared" si="1"/>
        <v>42401Gig</v>
      </c>
      <c r="S28" s="5">
        <f t="shared" si="2"/>
        <v>-1</v>
      </c>
    </row>
    <row r="29" spans="1:19" x14ac:dyDescent="0.25">
      <c r="A29" s="6">
        <v>42401</v>
      </c>
      <c r="B29" s="7">
        <v>42426</v>
      </c>
      <c r="C29" s="7"/>
      <c r="D29" s="8" t="s">
        <v>26</v>
      </c>
      <c r="E29" s="5" t="str">
        <f>VLOOKUP(D29,'method codes'!$A$2:$B$11,2,FALSE)</f>
        <v>Trap</v>
      </c>
      <c r="F29" s="8" t="s">
        <v>21</v>
      </c>
      <c r="G29" s="8" t="s">
        <v>21</v>
      </c>
      <c r="H29" s="8"/>
      <c r="I29" s="8" t="s">
        <v>30</v>
      </c>
      <c r="J29" s="8" t="str">
        <f>VLOOKUP(I29,'species codes'!$A$2:$B$17,2,FALSE)</f>
        <v>Red swamp crayfish</v>
      </c>
      <c r="L29" s="8">
        <v>4</v>
      </c>
      <c r="M29" s="8" t="s">
        <v>50</v>
      </c>
      <c r="O29" s="8" t="str">
        <f t="shared" si="1"/>
        <v>42401Trap</v>
      </c>
      <c r="S29" s="5">
        <f t="shared" si="2"/>
        <v>1</v>
      </c>
    </row>
    <row r="30" spans="1:19" x14ac:dyDescent="0.25">
      <c r="A30" s="6">
        <v>42401</v>
      </c>
      <c r="B30" s="7">
        <v>42426</v>
      </c>
      <c r="C30" s="7"/>
      <c r="D30" s="8" t="s">
        <v>26</v>
      </c>
      <c r="E30" s="5" t="str">
        <f>VLOOKUP(D30,'method codes'!$A$2:$B$11,2,FALSE)</f>
        <v>Trap</v>
      </c>
      <c r="F30" s="8" t="s">
        <v>21</v>
      </c>
      <c r="G30" s="8" t="s">
        <v>21</v>
      </c>
      <c r="H30" s="8"/>
      <c r="I30" s="8" t="s">
        <v>42</v>
      </c>
      <c r="J30" s="8" t="str">
        <f>VLOOKUP(I30,'species codes'!$A$2:$B$17,2,FALSE)</f>
        <v>African clawed frog</v>
      </c>
      <c r="K30" s="8">
        <v>96</v>
      </c>
      <c r="L30" s="8">
        <v>1</v>
      </c>
      <c r="M30" s="8" t="s">
        <v>50</v>
      </c>
      <c r="N30" s="8" t="s">
        <v>39</v>
      </c>
      <c r="O30" s="8" t="str">
        <f t="shared" si="1"/>
        <v>42401Trap</v>
      </c>
      <c r="S30" s="5">
        <f t="shared" si="2"/>
        <v>1</v>
      </c>
    </row>
    <row r="31" spans="1:19" x14ac:dyDescent="0.25">
      <c r="A31" s="6">
        <v>42401</v>
      </c>
      <c r="B31" s="7">
        <v>42426</v>
      </c>
      <c r="C31" s="7"/>
      <c r="D31" s="8" t="s">
        <v>26</v>
      </c>
      <c r="E31" s="5" t="str">
        <f>VLOOKUP(D31,'method codes'!$A$2:$B$11,2,FALSE)</f>
        <v>Trap</v>
      </c>
      <c r="F31" s="8" t="s">
        <v>21</v>
      </c>
      <c r="G31" s="8" t="s">
        <v>21</v>
      </c>
      <c r="H31" s="8"/>
      <c r="I31" s="8" t="s">
        <v>30</v>
      </c>
      <c r="J31" s="8" t="str">
        <f>VLOOKUP(I31,'species codes'!$A$2:$B$17,2,FALSE)</f>
        <v>Red swamp crayfish</v>
      </c>
      <c r="L31" s="8">
        <v>5</v>
      </c>
      <c r="M31" s="8" t="s">
        <v>63</v>
      </c>
      <c r="O31" s="8" t="str">
        <f t="shared" si="1"/>
        <v>42401Trap</v>
      </c>
      <c r="S31" s="5">
        <f t="shared" si="2"/>
        <v>1</v>
      </c>
    </row>
    <row r="32" spans="1:19" x14ac:dyDescent="0.25">
      <c r="A32" s="6">
        <v>42401</v>
      </c>
      <c r="B32" s="7">
        <v>42426</v>
      </c>
      <c r="C32" s="7"/>
      <c r="D32" s="8" t="s">
        <v>26</v>
      </c>
      <c r="E32" s="5" t="str">
        <f>VLOOKUP(D32,'method codes'!$A$2:$B$11,2,FALSE)</f>
        <v>Trap</v>
      </c>
      <c r="F32" s="8" t="s">
        <v>21</v>
      </c>
      <c r="G32" s="8" t="s">
        <v>21</v>
      </c>
      <c r="H32" s="8"/>
      <c r="I32" s="8" t="s">
        <v>30</v>
      </c>
      <c r="J32" s="8" t="str">
        <f>VLOOKUP(I32,'species codes'!$A$2:$B$17,2,FALSE)</f>
        <v>Red swamp crayfish</v>
      </c>
      <c r="L32" s="8">
        <v>4</v>
      </c>
      <c r="M32" s="8" t="s">
        <v>55</v>
      </c>
      <c r="O32" s="8" t="str">
        <f t="shared" si="1"/>
        <v>42401Trap</v>
      </c>
      <c r="S32" s="5">
        <f t="shared" si="2"/>
        <v>1</v>
      </c>
    </row>
    <row r="33" spans="1:19" x14ac:dyDescent="0.25">
      <c r="A33" s="6">
        <v>42401</v>
      </c>
      <c r="B33" s="7">
        <v>42426</v>
      </c>
      <c r="C33" s="7"/>
      <c r="D33" s="8" t="s">
        <v>26</v>
      </c>
      <c r="E33" s="5" t="str">
        <f>VLOOKUP(D33,'method codes'!$A$2:$B$11,2,FALSE)</f>
        <v>Trap</v>
      </c>
      <c r="F33" s="8" t="s">
        <v>21</v>
      </c>
      <c r="G33" s="8" t="s">
        <v>21</v>
      </c>
      <c r="H33" s="8"/>
      <c r="I33" s="8" t="s">
        <v>30</v>
      </c>
      <c r="J33" s="8" t="str">
        <f>VLOOKUP(I33,'species codes'!$A$2:$B$17,2,FALSE)</f>
        <v>Red swamp crayfish</v>
      </c>
      <c r="L33" s="8">
        <v>6</v>
      </c>
      <c r="M33" s="8" t="s">
        <v>52</v>
      </c>
      <c r="O33" s="8" t="str">
        <f t="shared" si="1"/>
        <v>42401Trap</v>
      </c>
      <c r="S33" s="5">
        <f t="shared" si="2"/>
        <v>1</v>
      </c>
    </row>
    <row r="34" spans="1:19" x14ac:dyDescent="0.25">
      <c r="A34" s="6">
        <v>42401</v>
      </c>
      <c r="B34" s="7">
        <v>42426</v>
      </c>
      <c r="C34" s="7"/>
      <c r="D34" s="8" t="s">
        <v>26</v>
      </c>
      <c r="E34" s="5" t="str">
        <f>VLOOKUP(D34,'method codes'!$A$2:$B$11,2,FALSE)</f>
        <v>Trap</v>
      </c>
      <c r="F34" s="8" t="s">
        <v>21</v>
      </c>
      <c r="G34" s="8" t="s">
        <v>21</v>
      </c>
      <c r="H34" s="8"/>
      <c r="I34" s="8" t="s">
        <v>30</v>
      </c>
      <c r="J34" s="8" t="str">
        <f>VLOOKUP(I34,'species codes'!$A$2:$B$17,2,FALSE)</f>
        <v>Red swamp crayfish</v>
      </c>
      <c r="L34" s="8">
        <v>1</v>
      </c>
      <c r="M34" s="8" t="s">
        <v>52</v>
      </c>
      <c r="O34" s="8" t="str">
        <f t="shared" ref="O34:O65" si="4">A34&amp;E34</f>
        <v>42401Trap</v>
      </c>
      <c r="S34" s="5">
        <f t="shared" si="2"/>
        <v>1</v>
      </c>
    </row>
    <row r="35" spans="1:19" x14ac:dyDescent="0.25">
      <c r="A35" s="6">
        <v>42401</v>
      </c>
      <c r="B35" s="7">
        <v>42426</v>
      </c>
      <c r="C35" s="7"/>
      <c r="D35" s="8" t="s">
        <v>26</v>
      </c>
      <c r="E35" s="5" t="str">
        <f>VLOOKUP(D35,'method codes'!$A$2:$B$11,2,FALSE)</f>
        <v>Trap</v>
      </c>
      <c r="F35" s="8" t="s">
        <v>21</v>
      </c>
      <c r="G35" s="8" t="s">
        <v>21</v>
      </c>
      <c r="H35" s="8"/>
      <c r="I35" s="8" t="s">
        <v>30</v>
      </c>
      <c r="J35" s="8" t="str">
        <f>VLOOKUP(I35,'species codes'!$A$2:$B$17,2,FALSE)</f>
        <v>Red swamp crayfish</v>
      </c>
      <c r="L35" s="8">
        <v>3</v>
      </c>
      <c r="M35" s="8" t="s">
        <v>52</v>
      </c>
      <c r="O35" s="8" t="str">
        <f t="shared" si="4"/>
        <v>42401Trap</v>
      </c>
      <c r="S35" s="5">
        <f t="shared" ref="S35:S60" si="5">IF(G35=G34,S34,-S34)</f>
        <v>1</v>
      </c>
    </row>
    <row r="36" spans="1:19" x14ac:dyDescent="0.25">
      <c r="A36" s="6">
        <v>42401</v>
      </c>
      <c r="B36" s="7">
        <v>42426</v>
      </c>
      <c r="C36" s="7"/>
      <c r="D36" s="8" t="s">
        <v>26</v>
      </c>
      <c r="E36" s="5" t="str">
        <f>VLOOKUP(D36,'method codes'!$A$2:$B$11,2,FALSE)</f>
        <v>Trap</v>
      </c>
      <c r="F36" s="8" t="s">
        <v>31</v>
      </c>
      <c r="G36" s="8" t="s">
        <v>22</v>
      </c>
      <c r="H36" s="8"/>
      <c r="I36" s="8" t="s">
        <v>30</v>
      </c>
      <c r="J36" s="8" t="str">
        <f>VLOOKUP(I36,'species codes'!$A$2:$B$17,2,FALSE)</f>
        <v>Red swamp crayfish</v>
      </c>
      <c r="L36" s="8">
        <v>1</v>
      </c>
      <c r="M36" s="8" t="s">
        <v>63</v>
      </c>
      <c r="O36" s="8" t="str">
        <f t="shared" si="4"/>
        <v>42401Trap</v>
      </c>
      <c r="S36" s="5">
        <f t="shared" si="5"/>
        <v>-1</v>
      </c>
    </row>
    <row r="37" spans="1:19" x14ac:dyDescent="0.25">
      <c r="A37" s="6">
        <v>42401</v>
      </c>
      <c r="B37" s="7">
        <v>42426</v>
      </c>
      <c r="C37" s="7"/>
      <c r="D37" s="8" t="s">
        <v>26</v>
      </c>
      <c r="E37" s="5" t="str">
        <f>VLOOKUP(D37,'method codes'!$A$2:$B$11,2,FALSE)</f>
        <v>Trap</v>
      </c>
      <c r="F37" s="8" t="s">
        <v>35</v>
      </c>
      <c r="G37" s="8" t="s">
        <v>22</v>
      </c>
      <c r="H37" s="8"/>
      <c r="I37" s="8" t="s">
        <v>30</v>
      </c>
      <c r="J37" s="8" t="str">
        <f>VLOOKUP(I37,'species codes'!$A$2:$B$17,2,FALSE)</f>
        <v>Red swamp crayfish</v>
      </c>
      <c r="L37" s="8">
        <v>1</v>
      </c>
      <c r="M37" s="8" t="s">
        <v>64</v>
      </c>
      <c r="O37" s="8" t="str">
        <f t="shared" si="4"/>
        <v>42401Trap</v>
      </c>
      <c r="S37" s="5">
        <f t="shared" si="5"/>
        <v>-1</v>
      </c>
    </row>
    <row r="38" spans="1:19" x14ac:dyDescent="0.25">
      <c r="A38" s="6">
        <v>42401</v>
      </c>
      <c r="B38" s="7">
        <v>42426</v>
      </c>
      <c r="C38" s="7"/>
      <c r="D38" s="8" t="s">
        <v>26</v>
      </c>
      <c r="E38" s="5" t="str">
        <f>VLOOKUP(D38,'method codes'!$A$2:$B$11,2,FALSE)</f>
        <v>Trap</v>
      </c>
      <c r="F38" s="8" t="s">
        <v>36</v>
      </c>
      <c r="G38" s="8" t="s">
        <v>14</v>
      </c>
      <c r="H38" s="8"/>
      <c r="I38" s="8" t="s">
        <v>30</v>
      </c>
      <c r="J38" s="8" t="str">
        <f>VLOOKUP(I38,'species codes'!$A$2:$B$17,2,FALSE)</f>
        <v>Red swamp crayfish</v>
      </c>
      <c r="L38" s="8">
        <v>1</v>
      </c>
      <c r="M38" s="8" t="s">
        <v>65</v>
      </c>
      <c r="O38" s="8" t="str">
        <f t="shared" si="4"/>
        <v>42401Trap</v>
      </c>
      <c r="S38" s="5">
        <f t="shared" si="5"/>
        <v>1</v>
      </c>
    </row>
    <row r="39" spans="1:19" x14ac:dyDescent="0.25">
      <c r="A39" s="6">
        <v>42401</v>
      </c>
      <c r="B39" s="7">
        <v>42427</v>
      </c>
      <c r="C39" s="7"/>
      <c r="D39" s="8" t="s">
        <v>26</v>
      </c>
      <c r="E39" s="5" t="str">
        <f>VLOOKUP(D39,'method codes'!$A$2:$B$11,2,FALSE)</f>
        <v>Trap</v>
      </c>
      <c r="F39" s="8" t="s">
        <v>21</v>
      </c>
      <c r="G39" s="8" t="s">
        <v>21</v>
      </c>
      <c r="H39" s="8"/>
      <c r="I39" s="8" t="s">
        <v>30</v>
      </c>
      <c r="J39" s="8" t="str">
        <f>VLOOKUP(I39,'species codes'!$A$2:$B$17,2,FALSE)</f>
        <v>Red swamp crayfish</v>
      </c>
      <c r="L39" s="8">
        <v>1</v>
      </c>
      <c r="M39" s="8" t="s">
        <v>52</v>
      </c>
      <c r="O39" s="8" t="str">
        <f t="shared" si="4"/>
        <v>42401Trap</v>
      </c>
      <c r="S39" s="5">
        <f t="shared" si="5"/>
        <v>-1</v>
      </c>
    </row>
    <row r="40" spans="1:19" x14ac:dyDescent="0.25">
      <c r="A40" s="6">
        <v>42401</v>
      </c>
      <c r="B40" s="7">
        <v>42427</v>
      </c>
      <c r="C40" s="7"/>
      <c r="D40" s="8" t="s">
        <v>26</v>
      </c>
      <c r="E40" s="5" t="str">
        <f>VLOOKUP(D40,'method codes'!$A$2:$B$11,2,FALSE)</f>
        <v>Trap</v>
      </c>
      <c r="F40" s="8" t="s">
        <v>21</v>
      </c>
      <c r="G40" s="8" t="s">
        <v>21</v>
      </c>
      <c r="H40" s="8"/>
      <c r="I40" s="8" t="s">
        <v>30</v>
      </c>
      <c r="J40" s="8" t="str">
        <f>VLOOKUP(I40,'species codes'!$A$2:$B$17,2,FALSE)</f>
        <v>Red swamp crayfish</v>
      </c>
      <c r="L40" s="8">
        <v>2</v>
      </c>
      <c r="M40" s="8" t="s">
        <v>52</v>
      </c>
      <c r="O40" s="8" t="str">
        <f t="shared" si="4"/>
        <v>42401Trap</v>
      </c>
      <c r="S40" s="5">
        <f t="shared" si="5"/>
        <v>-1</v>
      </c>
    </row>
    <row r="41" spans="1:19" x14ac:dyDescent="0.25">
      <c r="A41" s="6">
        <v>42401</v>
      </c>
      <c r="B41" s="7">
        <v>42427</v>
      </c>
      <c r="C41" s="7"/>
      <c r="D41" s="8" t="s">
        <v>26</v>
      </c>
      <c r="E41" s="5" t="str">
        <f>VLOOKUP(D41,'method codes'!$A$2:$B$11,2,FALSE)</f>
        <v>Trap</v>
      </c>
      <c r="F41" s="8" t="s">
        <v>21</v>
      </c>
      <c r="G41" s="8" t="s">
        <v>21</v>
      </c>
      <c r="H41" s="8"/>
      <c r="I41" s="8" t="s">
        <v>30</v>
      </c>
      <c r="J41" s="8" t="str">
        <f>VLOOKUP(I41,'species codes'!$A$2:$B$17,2,FALSE)</f>
        <v>Red swamp crayfish</v>
      </c>
      <c r="L41" s="8">
        <v>4</v>
      </c>
      <c r="M41" s="8" t="s">
        <v>50</v>
      </c>
      <c r="O41" s="8" t="str">
        <f t="shared" si="4"/>
        <v>42401Trap</v>
      </c>
      <c r="S41" s="5">
        <f t="shared" si="5"/>
        <v>-1</v>
      </c>
    </row>
    <row r="42" spans="1:19" x14ac:dyDescent="0.25">
      <c r="A42" s="6">
        <v>42401</v>
      </c>
      <c r="B42" s="7">
        <v>42427</v>
      </c>
      <c r="C42" s="7"/>
      <c r="D42" s="8" t="s">
        <v>26</v>
      </c>
      <c r="E42" s="5" t="str">
        <f>VLOOKUP(D42,'method codes'!$A$2:$B$11,2,FALSE)</f>
        <v>Trap</v>
      </c>
      <c r="F42" s="8" t="s">
        <v>21</v>
      </c>
      <c r="G42" s="8" t="s">
        <v>21</v>
      </c>
      <c r="H42" s="8"/>
      <c r="I42" s="8" t="s">
        <v>30</v>
      </c>
      <c r="J42" s="8" t="str">
        <f>VLOOKUP(I42,'species codes'!$A$2:$B$17,2,FALSE)</f>
        <v>Red swamp crayfish</v>
      </c>
      <c r="L42" s="8">
        <v>2</v>
      </c>
      <c r="M42" s="8" t="s">
        <v>52</v>
      </c>
      <c r="O42" s="8" t="str">
        <f t="shared" si="4"/>
        <v>42401Trap</v>
      </c>
      <c r="S42" s="5">
        <f t="shared" si="5"/>
        <v>-1</v>
      </c>
    </row>
    <row r="43" spans="1:19" x14ac:dyDescent="0.25">
      <c r="A43" s="6">
        <v>42401</v>
      </c>
      <c r="B43" s="7">
        <v>42427</v>
      </c>
      <c r="C43" s="7"/>
      <c r="D43" s="8" t="s">
        <v>26</v>
      </c>
      <c r="E43" s="5" t="str">
        <f>VLOOKUP(D43,'method codes'!$A$2:$B$11,2,FALSE)</f>
        <v>Trap</v>
      </c>
      <c r="F43" s="8" t="s">
        <v>21</v>
      </c>
      <c r="G43" s="8" t="s">
        <v>21</v>
      </c>
      <c r="H43" s="8"/>
      <c r="I43" s="8" t="s">
        <v>30</v>
      </c>
      <c r="J43" s="8" t="str">
        <f>VLOOKUP(I43,'species codes'!$A$2:$B$17,2,FALSE)</f>
        <v>Red swamp crayfish</v>
      </c>
      <c r="L43" s="8">
        <v>1</v>
      </c>
      <c r="M43" s="8" t="s">
        <v>55</v>
      </c>
      <c r="O43" s="8" t="str">
        <f t="shared" si="4"/>
        <v>42401Trap</v>
      </c>
      <c r="S43" s="5">
        <f t="shared" si="5"/>
        <v>-1</v>
      </c>
    </row>
    <row r="44" spans="1:19" x14ac:dyDescent="0.25">
      <c r="A44" s="6">
        <v>42401</v>
      </c>
      <c r="B44" s="7">
        <v>42427</v>
      </c>
      <c r="C44" s="7"/>
      <c r="D44" s="8" t="s">
        <v>26</v>
      </c>
      <c r="E44" s="5" t="str">
        <f>VLOOKUP(D44,'method codes'!$A$2:$B$11,2,FALSE)</f>
        <v>Trap</v>
      </c>
      <c r="F44" s="8" t="s">
        <v>35</v>
      </c>
      <c r="G44" s="8" t="s">
        <v>22</v>
      </c>
      <c r="H44" s="8"/>
      <c r="I44" s="8" t="s">
        <v>30</v>
      </c>
      <c r="J44" s="8" t="str">
        <f>VLOOKUP(I44,'species codes'!$A$2:$B$17,2,FALSE)</f>
        <v>Red swamp crayfish</v>
      </c>
      <c r="L44" s="8">
        <v>2</v>
      </c>
      <c r="M44" s="8" t="s">
        <v>64</v>
      </c>
      <c r="O44" s="8" t="str">
        <f t="shared" si="4"/>
        <v>42401Trap</v>
      </c>
      <c r="S44" s="5">
        <f t="shared" si="5"/>
        <v>1</v>
      </c>
    </row>
    <row r="45" spans="1:19" x14ac:dyDescent="0.25">
      <c r="A45" s="6">
        <v>42401</v>
      </c>
      <c r="B45" s="7">
        <v>42427</v>
      </c>
      <c r="C45" s="7"/>
      <c r="D45" s="8" t="s">
        <v>26</v>
      </c>
      <c r="E45" s="5" t="str">
        <f>VLOOKUP(D45,'method codes'!$A$2:$B$11,2,FALSE)</f>
        <v>Trap</v>
      </c>
      <c r="F45" s="8" t="s">
        <v>36</v>
      </c>
      <c r="G45" s="8" t="s">
        <v>14</v>
      </c>
      <c r="H45" s="8"/>
      <c r="I45" s="8" t="s">
        <v>30</v>
      </c>
      <c r="J45" s="8" t="str">
        <f>VLOOKUP(I45,'species codes'!$A$2:$B$17,2,FALSE)</f>
        <v>Red swamp crayfish</v>
      </c>
      <c r="L45" s="8">
        <v>1</v>
      </c>
      <c r="M45" s="8" t="s">
        <v>52</v>
      </c>
      <c r="O45" s="8" t="str">
        <f t="shared" si="4"/>
        <v>42401Trap</v>
      </c>
      <c r="S45" s="5">
        <f t="shared" si="5"/>
        <v>-1</v>
      </c>
    </row>
    <row r="46" spans="1:19" x14ac:dyDescent="0.25">
      <c r="A46" s="6">
        <v>42401</v>
      </c>
      <c r="B46" s="7">
        <v>42427</v>
      </c>
      <c r="C46" s="7"/>
      <c r="D46" s="8" t="s">
        <v>26</v>
      </c>
      <c r="E46" s="5" t="str">
        <f>VLOOKUP(D46,'method codes'!$A$2:$B$11,2,FALSE)</f>
        <v>Trap</v>
      </c>
      <c r="F46" s="8" t="s">
        <v>36</v>
      </c>
      <c r="G46" s="8" t="s">
        <v>14</v>
      </c>
      <c r="H46" s="8"/>
      <c r="I46" s="8" t="s">
        <v>30</v>
      </c>
      <c r="J46" s="8" t="str">
        <f>VLOOKUP(I46,'species codes'!$A$2:$B$17,2,FALSE)</f>
        <v>Red swamp crayfish</v>
      </c>
      <c r="L46" s="8">
        <v>1</v>
      </c>
      <c r="M46" s="8" t="s">
        <v>63</v>
      </c>
      <c r="O46" s="8" t="str">
        <f t="shared" si="4"/>
        <v>42401Trap</v>
      </c>
      <c r="S46" s="5">
        <f t="shared" si="5"/>
        <v>-1</v>
      </c>
    </row>
    <row r="47" spans="1:19" x14ac:dyDescent="0.25">
      <c r="A47" s="6">
        <v>42401</v>
      </c>
      <c r="B47" s="7">
        <v>42427</v>
      </c>
      <c r="C47" s="7"/>
      <c r="D47" s="8" t="s">
        <v>26</v>
      </c>
      <c r="E47" s="5" t="str">
        <f>VLOOKUP(D47,'method codes'!$A$2:$B$11,2,FALSE)</f>
        <v>Trap</v>
      </c>
      <c r="F47" s="8" t="s">
        <v>18</v>
      </c>
      <c r="G47" s="8" t="s">
        <v>14</v>
      </c>
      <c r="H47" s="8"/>
      <c r="I47" s="8" t="s">
        <v>30</v>
      </c>
      <c r="J47" s="8" t="str">
        <f>VLOOKUP(I47,'species codes'!$A$2:$B$17,2,FALSE)</f>
        <v>Red swamp crayfish</v>
      </c>
      <c r="L47" s="8">
        <v>1</v>
      </c>
      <c r="M47" s="8" t="s">
        <v>66</v>
      </c>
      <c r="O47" s="8" t="str">
        <f t="shared" si="4"/>
        <v>42401Trap</v>
      </c>
      <c r="S47" s="5">
        <f t="shared" si="5"/>
        <v>-1</v>
      </c>
    </row>
    <row r="48" spans="1:19" x14ac:dyDescent="0.25">
      <c r="A48" s="6">
        <v>42430</v>
      </c>
      <c r="B48" s="7">
        <v>42457</v>
      </c>
      <c r="C48" s="7"/>
      <c r="D48" s="8" t="s">
        <v>26</v>
      </c>
      <c r="E48" s="5" t="str">
        <f>VLOOKUP(D48,'method codes'!$A$2:$B$11,2,FALSE)</f>
        <v>Trap</v>
      </c>
      <c r="F48" s="8" t="s">
        <v>31</v>
      </c>
      <c r="G48" s="8" t="s">
        <v>22</v>
      </c>
      <c r="H48" s="8"/>
      <c r="I48" s="8" t="s">
        <v>32</v>
      </c>
      <c r="J48" s="8" t="str">
        <f>VLOOKUP(I48,'species codes'!$A$2:$B$17,2,FALSE)</f>
        <v>Southwestern pond turtle</v>
      </c>
      <c r="K48" s="5">
        <v>146.69999999999999</v>
      </c>
      <c r="L48" s="8">
        <v>1</v>
      </c>
      <c r="M48" s="8" t="s">
        <v>68</v>
      </c>
      <c r="N48" s="5" t="s">
        <v>39</v>
      </c>
      <c r="O48" s="8" t="str">
        <f t="shared" si="4"/>
        <v>42430Trap</v>
      </c>
      <c r="S48" s="5">
        <f t="shared" si="5"/>
        <v>1</v>
      </c>
    </row>
    <row r="49" spans="1:19" x14ac:dyDescent="0.25">
      <c r="A49" s="6">
        <v>42430</v>
      </c>
      <c r="B49" s="7">
        <v>42457</v>
      </c>
      <c r="C49" s="7"/>
      <c r="D49" s="8" t="s">
        <v>13</v>
      </c>
      <c r="E49" s="5" t="str">
        <f>VLOOKUP(D49,'method codes'!$A$2:$B$11,2,FALSE)</f>
        <v>Gig</v>
      </c>
      <c r="F49" s="8" t="s">
        <v>18</v>
      </c>
      <c r="G49" s="8" t="s">
        <v>14</v>
      </c>
      <c r="H49" s="8"/>
      <c r="I49" s="8" t="s">
        <v>15</v>
      </c>
      <c r="J49" s="8" t="str">
        <f>VLOOKUP(I49,'species codes'!$A$2:$B$17,2,FALSE)</f>
        <v>Bullfrog</v>
      </c>
      <c r="K49" s="5">
        <v>120</v>
      </c>
      <c r="L49" s="8">
        <v>1</v>
      </c>
      <c r="N49" s="5" t="s">
        <v>38</v>
      </c>
      <c r="O49" s="8" t="str">
        <f t="shared" si="4"/>
        <v>42430Gig</v>
      </c>
      <c r="S49" s="5">
        <f t="shared" si="5"/>
        <v>-1</v>
      </c>
    </row>
    <row r="50" spans="1:19" x14ac:dyDescent="0.25">
      <c r="A50" s="6">
        <v>42430</v>
      </c>
      <c r="B50" s="7">
        <v>42457</v>
      </c>
      <c r="C50" s="7"/>
      <c r="D50" s="8" t="s">
        <v>13</v>
      </c>
      <c r="E50" s="5" t="str">
        <f>VLOOKUP(D50,'method codes'!$A$2:$B$11,2,FALSE)</f>
        <v>Gig</v>
      </c>
      <c r="F50" s="8" t="s">
        <v>14</v>
      </c>
      <c r="G50" s="8" t="s">
        <v>14</v>
      </c>
      <c r="H50" s="8"/>
      <c r="I50" s="8" t="s">
        <v>15</v>
      </c>
      <c r="J50" s="8" t="str">
        <f>VLOOKUP(I50,'species codes'!$A$2:$B$17,2,FALSE)</f>
        <v>Bullfrog</v>
      </c>
      <c r="K50" s="5">
        <v>175</v>
      </c>
      <c r="L50" s="8">
        <v>1</v>
      </c>
      <c r="N50" s="5" t="s">
        <v>38</v>
      </c>
      <c r="O50" s="8" t="str">
        <f t="shared" si="4"/>
        <v>42430Gig</v>
      </c>
      <c r="S50" s="5">
        <f t="shared" si="5"/>
        <v>-1</v>
      </c>
    </row>
    <row r="51" spans="1:19" x14ac:dyDescent="0.25">
      <c r="A51" s="6">
        <v>42430</v>
      </c>
      <c r="B51" s="7">
        <v>42457</v>
      </c>
      <c r="C51" s="7"/>
      <c r="D51" s="8" t="s">
        <v>13</v>
      </c>
      <c r="E51" s="5" t="str">
        <f>VLOOKUP(D51,'method codes'!$A$2:$B$11,2,FALSE)</f>
        <v>Gig</v>
      </c>
      <c r="F51" s="8" t="s">
        <v>18</v>
      </c>
      <c r="G51" s="8" t="s">
        <v>14</v>
      </c>
      <c r="H51" s="8"/>
      <c r="I51" s="8" t="s">
        <v>29</v>
      </c>
      <c r="J51" s="8" t="str">
        <f>VLOOKUP(I51,'species codes'!$A$2:$B$17,2,FALSE)</f>
        <v>Bullfrog tadpole</v>
      </c>
      <c r="L51" s="8">
        <v>1</v>
      </c>
      <c r="O51" s="8" t="str">
        <f t="shared" si="4"/>
        <v>42430Gig</v>
      </c>
      <c r="S51" s="5">
        <f t="shared" si="5"/>
        <v>-1</v>
      </c>
    </row>
    <row r="52" spans="1:19" x14ac:dyDescent="0.25">
      <c r="A52" s="6">
        <v>42430</v>
      </c>
      <c r="B52" s="7">
        <v>42458</v>
      </c>
      <c r="C52" s="7"/>
      <c r="D52" s="8" t="s">
        <v>26</v>
      </c>
      <c r="E52" s="5" t="str">
        <f>VLOOKUP(D52,'method codes'!$A$2:$B$11,2,FALSE)</f>
        <v>Trap</v>
      </c>
      <c r="F52" s="8" t="s">
        <v>21</v>
      </c>
      <c r="G52" s="8" t="s">
        <v>21</v>
      </c>
      <c r="H52" s="8"/>
      <c r="I52" s="8" t="s">
        <v>30</v>
      </c>
      <c r="J52" s="8" t="str">
        <f>VLOOKUP(I52,'species codes'!$A$2:$B$17,2,FALSE)</f>
        <v>Red swamp crayfish</v>
      </c>
      <c r="L52" s="8">
        <v>11</v>
      </c>
      <c r="M52" s="8" t="s">
        <v>55</v>
      </c>
      <c r="O52" s="8" t="str">
        <f t="shared" si="4"/>
        <v>42430Trap</v>
      </c>
      <c r="S52" s="5">
        <f t="shared" si="5"/>
        <v>1</v>
      </c>
    </row>
    <row r="53" spans="1:19" x14ac:dyDescent="0.25">
      <c r="A53" s="6">
        <v>42430</v>
      </c>
      <c r="B53" s="7">
        <v>42458</v>
      </c>
      <c r="C53" s="7"/>
      <c r="D53" s="8" t="s">
        <v>26</v>
      </c>
      <c r="E53" s="5" t="str">
        <f>VLOOKUP(D53,'method codes'!$A$2:$B$11,2,FALSE)</f>
        <v>Trap</v>
      </c>
      <c r="F53" s="8" t="s">
        <v>21</v>
      </c>
      <c r="G53" s="8" t="s">
        <v>21</v>
      </c>
      <c r="H53" s="8"/>
      <c r="I53" s="8" t="s">
        <v>30</v>
      </c>
      <c r="J53" s="8" t="str">
        <f>VLOOKUP(I53,'species codes'!$A$2:$B$17,2,FALSE)</f>
        <v>Red swamp crayfish</v>
      </c>
      <c r="L53" s="8">
        <v>8</v>
      </c>
      <c r="M53" s="8" t="s">
        <v>56</v>
      </c>
      <c r="O53" s="8" t="str">
        <f t="shared" si="4"/>
        <v>42430Trap</v>
      </c>
      <c r="S53" s="5">
        <f t="shared" si="5"/>
        <v>1</v>
      </c>
    </row>
    <row r="54" spans="1:19" x14ac:dyDescent="0.25">
      <c r="A54" s="6">
        <v>42430</v>
      </c>
      <c r="B54" s="7">
        <v>42458</v>
      </c>
      <c r="C54" s="7"/>
      <c r="D54" s="8" t="s">
        <v>26</v>
      </c>
      <c r="E54" s="5" t="str">
        <f>VLOOKUP(D54,'method codes'!$A$2:$B$11,2,FALSE)</f>
        <v>Trap</v>
      </c>
      <c r="F54" s="8" t="s">
        <v>21</v>
      </c>
      <c r="G54" s="8" t="s">
        <v>21</v>
      </c>
      <c r="H54" s="8"/>
      <c r="I54" s="8" t="s">
        <v>30</v>
      </c>
      <c r="J54" s="8" t="str">
        <f>VLOOKUP(I54,'species codes'!$A$2:$B$17,2,FALSE)</f>
        <v>Red swamp crayfish</v>
      </c>
      <c r="L54" s="8">
        <v>3</v>
      </c>
      <c r="M54" s="8" t="s">
        <v>54</v>
      </c>
      <c r="O54" s="8" t="str">
        <f t="shared" si="4"/>
        <v>42430Trap</v>
      </c>
      <c r="S54" s="5">
        <f t="shared" si="5"/>
        <v>1</v>
      </c>
    </row>
    <row r="55" spans="1:19" x14ac:dyDescent="0.25">
      <c r="A55" s="6">
        <v>42430</v>
      </c>
      <c r="B55" s="7">
        <v>42458</v>
      </c>
      <c r="C55" s="7"/>
      <c r="D55" s="8" t="s">
        <v>26</v>
      </c>
      <c r="E55" s="5" t="str">
        <f>VLOOKUP(D55,'method codes'!$A$2:$B$11,2,FALSE)</f>
        <v>Trap</v>
      </c>
      <c r="F55" s="8" t="s">
        <v>21</v>
      </c>
      <c r="G55" s="8" t="s">
        <v>21</v>
      </c>
      <c r="H55" s="8"/>
      <c r="I55" s="8" t="s">
        <v>30</v>
      </c>
      <c r="J55" s="8" t="str">
        <f>VLOOKUP(I55,'species codes'!$A$2:$B$17,2,FALSE)</f>
        <v>Red swamp crayfish</v>
      </c>
      <c r="L55" s="8">
        <v>9</v>
      </c>
      <c r="M55" s="8" t="s">
        <v>50</v>
      </c>
      <c r="O55" s="8" t="str">
        <f t="shared" si="4"/>
        <v>42430Trap</v>
      </c>
      <c r="S55" s="5">
        <f t="shared" si="5"/>
        <v>1</v>
      </c>
    </row>
    <row r="56" spans="1:19" x14ac:dyDescent="0.25">
      <c r="A56" s="6">
        <v>42430</v>
      </c>
      <c r="B56" s="7">
        <v>42458</v>
      </c>
      <c r="C56" s="7"/>
      <c r="D56" s="8" t="s">
        <v>26</v>
      </c>
      <c r="E56" s="5" t="str">
        <f>VLOOKUP(D56,'method codes'!$A$2:$B$11,2,FALSE)</f>
        <v>Trap</v>
      </c>
      <c r="F56" s="8" t="s">
        <v>21</v>
      </c>
      <c r="G56" s="8" t="s">
        <v>21</v>
      </c>
      <c r="H56" s="8"/>
      <c r="I56" s="8" t="s">
        <v>30</v>
      </c>
      <c r="J56" s="8" t="str">
        <f>VLOOKUP(I56,'species codes'!$A$2:$B$17,2,FALSE)</f>
        <v>Red swamp crayfish</v>
      </c>
      <c r="L56" s="8">
        <v>2</v>
      </c>
      <c r="M56" s="8" t="s">
        <v>53</v>
      </c>
      <c r="O56" s="8" t="str">
        <f t="shared" si="4"/>
        <v>42430Trap</v>
      </c>
      <c r="S56" s="5">
        <f t="shared" si="5"/>
        <v>1</v>
      </c>
    </row>
    <row r="57" spans="1:19" x14ac:dyDescent="0.25">
      <c r="A57" s="6">
        <v>42430</v>
      </c>
      <c r="B57" s="7">
        <v>42458</v>
      </c>
      <c r="C57" s="7"/>
      <c r="D57" s="8" t="s">
        <v>26</v>
      </c>
      <c r="E57" s="5" t="str">
        <f>VLOOKUP(D57,'method codes'!$A$2:$B$11,2,FALSE)</f>
        <v>Trap</v>
      </c>
      <c r="F57" s="8" t="s">
        <v>35</v>
      </c>
      <c r="G57" s="8" t="s">
        <v>22</v>
      </c>
      <c r="H57" s="8"/>
      <c r="I57" s="8" t="s">
        <v>30</v>
      </c>
      <c r="J57" s="8" t="str">
        <f>VLOOKUP(I57,'species codes'!$A$2:$B$17,2,FALSE)</f>
        <v>Red swamp crayfish</v>
      </c>
      <c r="L57" s="8">
        <v>1</v>
      </c>
      <c r="M57" s="8" t="s">
        <v>70</v>
      </c>
      <c r="O57" s="8" t="str">
        <f t="shared" si="4"/>
        <v>42430Trap</v>
      </c>
      <c r="S57" s="5">
        <f t="shared" si="5"/>
        <v>-1</v>
      </c>
    </row>
    <row r="58" spans="1:19" x14ac:dyDescent="0.25">
      <c r="A58" s="6">
        <v>42430</v>
      </c>
      <c r="B58" s="7">
        <v>42458</v>
      </c>
      <c r="C58" s="7"/>
      <c r="D58" s="8" t="s">
        <v>19</v>
      </c>
      <c r="E58" s="5" t="str">
        <f>VLOOKUP(D58,'method codes'!$A$2:$B$11,2,FALSE)</f>
        <v>Net</v>
      </c>
      <c r="F58" s="5" t="s">
        <v>14</v>
      </c>
      <c r="G58" s="8" t="s">
        <v>14</v>
      </c>
      <c r="H58" s="8"/>
      <c r="I58" s="5" t="s">
        <v>20</v>
      </c>
      <c r="J58" s="8" t="str">
        <f>VLOOKUP(I58,'species codes'!$A$2:$B$17,2,FALSE)</f>
        <v>Largemouth bass</v>
      </c>
      <c r="K58" s="5">
        <v>262</v>
      </c>
      <c r="L58" s="8">
        <v>1</v>
      </c>
      <c r="O58" s="8" t="str">
        <f t="shared" si="4"/>
        <v>42430Net</v>
      </c>
      <c r="S58" s="5">
        <f t="shared" si="5"/>
        <v>1</v>
      </c>
    </row>
    <row r="59" spans="1:19" x14ac:dyDescent="0.25">
      <c r="A59" s="6">
        <v>42430</v>
      </c>
      <c r="B59" s="7">
        <v>42458</v>
      </c>
      <c r="C59" s="7"/>
      <c r="D59" s="8" t="s">
        <v>26</v>
      </c>
      <c r="E59" s="5" t="str">
        <f>VLOOKUP(D59,'method codes'!$A$2:$B$11,2,FALSE)</f>
        <v>Trap</v>
      </c>
      <c r="F59" s="5" t="s">
        <v>14</v>
      </c>
      <c r="G59" s="8" t="s">
        <v>14</v>
      </c>
      <c r="H59" s="8"/>
      <c r="I59" s="8" t="s">
        <v>30</v>
      </c>
      <c r="J59" s="8" t="str">
        <f>VLOOKUP(I59,'species codes'!$A$2:$B$17,2,FALSE)</f>
        <v>Red swamp crayfish</v>
      </c>
      <c r="L59" s="8">
        <v>1</v>
      </c>
      <c r="M59" s="8" t="s">
        <v>65</v>
      </c>
      <c r="O59" s="8" t="str">
        <f t="shared" si="4"/>
        <v>42430Trap</v>
      </c>
      <c r="S59" s="5">
        <f t="shared" si="5"/>
        <v>1</v>
      </c>
    </row>
    <row r="60" spans="1:19" x14ac:dyDescent="0.25">
      <c r="A60" s="6">
        <v>42430</v>
      </c>
      <c r="B60" s="7">
        <v>42458</v>
      </c>
      <c r="C60" s="7"/>
      <c r="D60" s="8" t="s">
        <v>26</v>
      </c>
      <c r="E60" s="5" t="str">
        <f>VLOOKUP(D60,'method codes'!$A$2:$B$11,2,FALSE)</f>
        <v>Trap</v>
      </c>
      <c r="F60" s="5" t="s">
        <v>14</v>
      </c>
      <c r="G60" s="8" t="s">
        <v>14</v>
      </c>
      <c r="H60" s="8"/>
      <c r="I60" s="8" t="s">
        <v>30</v>
      </c>
      <c r="J60" s="8" t="str">
        <f>VLOOKUP(I60,'species codes'!$A$2:$B$17,2,FALSE)</f>
        <v>Red swamp crayfish</v>
      </c>
      <c r="L60" s="8">
        <v>1</v>
      </c>
      <c r="M60" s="8" t="s">
        <v>71</v>
      </c>
      <c r="O60" s="8" t="str">
        <f t="shared" si="4"/>
        <v>42430Trap</v>
      </c>
      <c r="S60" s="5">
        <f t="shared" si="5"/>
        <v>1</v>
      </c>
    </row>
    <row r="61" spans="1:19" x14ac:dyDescent="0.25">
      <c r="A61" s="6">
        <v>42430</v>
      </c>
      <c r="B61" s="7">
        <v>42458</v>
      </c>
      <c r="C61" s="7"/>
      <c r="D61" s="8" t="s">
        <v>26</v>
      </c>
      <c r="E61" s="5" t="str">
        <f>VLOOKUP(D61,'method codes'!$A$2:$B$11,2,FALSE)</f>
        <v>Trap</v>
      </c>
      <c r="F61" s="5" t="s">
        <v>14</v>
      </c>
      <c r="G61" s="8" t="s">
        <v>14</v>
      </c>
      <c r="H61" s="8"/>
      <c r="I61" s="8" t="s">
        <v>30</v>
      </c>
      <c r="J61" s="8" t="str">
        <f>VLOOKUP(I61,'species codes'!$A$2:$B$17,2,FALSE)</f>
        <v>Red swamp crayfish</v>
      </c>
      <c r="L61" s="8">
        <v>1</v>
      </c>
      <c r="M61" s="8" t="s">
        <v>72</v>
      </c>
      <c r="O61" s="8" t="str">
        <f t="shared" si="4"/>
        <v>42430Trap</v>
      </c>
      <c r="S61" s="5">
        <f t="shared" ref="S61:S96" si="6">IF(G61=G60,S60,-S60)</f>
        <v>1</v>
      </c>
    </row>
    <row r="62" spans="1:19" x14ac:dyDescent="0.25">
      <c r="A62" s="6">
        <v>42430</v>
      </c>
      <c r="B62" s="7">
        <v>42459</v>
      </c>
      <c r="C62" s="7"/>
      <c r="D62" s="8" t="s">
        <v>26</v>
      </c>
      <c r="E62" s="5" t="str">
        <f>VLOOKUP(D62,'method codes'!$A$2:$B$11,2,FALSE)</f>
        <v>Trap</v>
      </c>
      <c r="F62" s="8" t="s">
        <v>21</v>
      </c>
      <c r="G62" s="8" t="s">
        <v>21</v>
      </c>
      <c r="H62" s="8"/>
      <c r="I62" s="8" t="s">
        <v>30</v>
      </c>
      <c r="J62" s="8" t="str">
        <f>VLOOKUP(I62,'species codes'!$A$2:$B$17,2,FALSE)</f>
        <v>Red swamp crayfish</v>
      </c>
      <c r="L62" s="8">
        <v>1</v>
      </c>
      <c r="M62" s="8" t="s">
        <v>56</v>
      </c>
      <c r="O62" s="8" t="str">
        <f t="shared" si="4"/>
        <v>42430Trap</v>
      </c>
      <c r="S62" s="5">
        <f t="shared" si="6"/>
        <v>-1</v>
      </c>
    </row>
    <row r="63" spans="1:19" x14ac:dyDescent="0.25">
      <c r="A63" s="6">
        <v>42430</v>
      </c>
      <c r="B63" s="7">
        <v>42459</v>
      </c>
      <c r="C63" s="7"/>
      <c r="D63" s="8" t="s">
        <v>26</v>
      </c>
      <c r="E63" s="5" t="str">
        <f>VLOOKUP(D63,'method codes'!$A$2:$B$11,2,FALSE)</f>
        <v>Trap</v>
      </c>
      <c r="F63" s="8" t="s">
        <v>21</v>
      </c>
      <c r="G63" s="8" t="s">
        <v>21</v>
      </c>
      <c r="H63" s="8"/>
      <c r="I63" s="8" t="s">
        <v>30</v>
      </c>
      <c r="J63" s="8" t="str">
        <f>VLOOKUP(I63,'species codes'!$A$2:$B$17,2,FALSE)</f>
        <v>Red swamp crayfish</v>
      </c>
      <c r="L63" s="8">
        <v>3</v>
      </c>
      <c r="M63" s="8" t="s">
        <v>50</v>
      </c>
      <c r="O63" s="8" t="str">
        <f t="shared" si="4"/>
        <v>42430Trap</v>
      </c>
      <c r="S63" s="5">
        <f t="shared" si="6"/>
        <v>-1</v>
      </c>
    </row>
    <row r="64" spans="1:19" x14ac:dyDescent="0.25">
      <c r="A64" s="6">
        <v>42430</v>
      </c>
      <c r="B64" s="7">
        <v>42459</v>
      </c>
      <c r="C64" s="7"/>
      <c r="D64" s="8" t="s">
        <v>26</v>
      </c>
      <c r="E64" s="5" t="str">
        <f>VLOOKUP(D64,'method codes'!$A$2:$B$11,2,FALSE)</f>
        <v>Trap</v>
      </c>
      <c r="F64" s="8" t="s">
        <v>21</v>
      </c>
      <c r="G64" s="8" t="s">
        <v>21</v>
      </c>
      <c r="H64" s="8"/>
      <c r="I64" s="8" t="s">
        <v>30</v>
      </c>
      <c r="J64" s="8" t="str">
        <f>VLOOKUP(I64,'species codes'!$A$2:$B$17,2,FALSE)</f>
        <v>Red swamp crayfish</v>
      </c>
      <c r="L64" s="8">
        <v>2</v>
      </c>
      <c r="M64" s="8" t="s">
        <v>73</v>
      </c>
      <c r="O64" s="8" t="str">
        <f t="shared" si="4"/>
        <v>42430Trap</v>
      </c>
      <c r="S64" s="5">
        <f t="shared" si="6"/>
        <v>-1</v>
      </c>
    </row>
    <row r="65" spans="1:19" x14ac:dyDescent="0.25">
      <c r="A65" s="6">
        <v>42430</v>
      </c>
      <c r="B65" s="7">
        <v>42459</v>
      </c>
      <c r="C65" s="7"/>
      <c r="D65" s="8" t="s">
        <v>23</v>
      </c>
      <c r="E65" s="5" t="str">
        <f>VLOOKUP(D65,'method codes'!$A$2:$B$11,2,FALSE)</f>
        <v>Hook &amp; line</v>
      </c>
      <c r="F65" s="8" t="s">
        <v>14</v>
      </c>
      <c r="G65" s="8" t="s">
        <v>14</v>
      </c>
      <c r="H65" s="8"/>
      <c r="I65" s="8" t="s">
        <v>34</v>
      </c>
      <c r="J65" s="8" t="str">
        <f>VLOOKUP(I65,'species codes'!$A$2:$B$17,2,FALSE)</f>
        <v>Bluegill sunfish</v>
      </c>
      <c r="K65" s="5">
        <v>143</v>
      </c>
      <c r="L65" s="8">
        <v>1</v>
      </c>
      <c r="O65" s="8" t="str">
        <f t="shared" si="4"/>
        <v>42430Hook &amp; line</v>
      </c>
      <c r="S65" s="5">
        <f t="shared" si="6"/>
        <v>1</v>
      </c>
    </row>
    <row r="66" spans="1:19" x14ac:dyDescent="0.25">
      <c r="A66" s="6">
        <v>42430</v>
      </c>
      <c r="B66" s="7">
        <v>42459</v>
      </c>
      <c r="C66" s="7"/>
      <c r="D66" s="8" t="s">
        <v>23</v>
      </c>
      <c r="E66" s="5" t="str">
        <f>VLOOKUP(D66,'method codes'!$A$2:$B$11,2,FALSE)</f>
        <v>Hook &amp; line</v>
      </c>
      <c r="F66" s="8" t="s">
        <v>14</v>
      </c>
      <c r="G66" s="8" t="s">
        <v>14</v>
      </c>
      <c r="H66" s="8"/>
      <c r="I66" s="8" t="s">
        <v>34</v>
      </c>
      <c r="J66" s="8" t="str">
        <f>VLOOKUP(I66,'species codes'!$A$2:$B$17,2,FALSE)</f>
        <v>Bluegill sunfish</v>
      </c>
      <c r="K66" s="5">
        <v>167</v>
      </c>
      <c r="L66" s="8">
        <v>1</v>
      </c>
      <c r="O66" s="8" t="str">
        <f t="shared" ref="O66:O96" si="7">A66&amp;E66</f>
        <v>42430Hook &amp; line</v>
      </c>
      <c r="S66" s="5">
        <f t="shared" si="6"/>
        <v>1</v>
      </c>
    </row>
    <row r="67" spans="1:19" x14ac:dyDescent="0.25">
      <c r="A67" s="6">
        <v>42430</v>
      </c>
      <c r="B67" s="7">
        <v>42459</v>
      </c>
      <c r="C67" s="7"/>
      <c r="D67" s="8" t="s">
        <v>23</v>
      </c>
      <c r="E67" s="5" t="str">
        <f>VLOOKUP(D67,'method codes'!$A$2:$B$11,2,FALSE)</f>
        <v>Hook &amp; line</v>
      </c>
      <c r="F67" s="8" t="s">
        <v>14</v>
      </c>
      <c r="G67" s="8" t="s">
        <v>14</v>
      </c>
      <c r="H67" s="8"/>
      <c r="I67" s="8" t="s">
        <v>34</v>
      </c>
      <c r="J67" s="8" t="str">
        <f>VLOOKUP(I67,'species codes'!$A$2:$B$17,2,FALSE)</f>
        <v>Bluegill sunfish</v>
      </c>
      <c r="K67" s="5">
        <v>169</v>
      </c>
      <c r="L67" s="8">
        <v>1</v>
      </c>
      <c r="O67" s="8" t="str">
        <f t="shared" si="7"/>
        <v>42430Hook &amp; line</v>
      </c>
      <c r="S67" s="5">
        <f t="shared" si="6"/>
        <v>1</v>
      </c>
    </row>
    <row r="68" spans="1:19" x14ac:dyDescent="0.25">
      <c r="A68" s="6">
        <v>42430</v>
      </c>
      <c r="B68" s="7">
        <v>42459</v>
      </c>
      <c r="C68" s="7"/>
      <c r="D68" s="8" t="s">
        <v>23</v>
      </c>
      <c r="E68" s="5" t="str">
        <f>VLOOKUP(D68,'method codes'!$A$2:$B$11,2,FALSE)</f>
        <v>Hook &amp; line</v>
      </c>
      <c r="F68" s="8" t="s">
        <v>14</v>
      </c>
      <c r="G68" s="8" t="s">
        <v>14</v>
      </c>
      <c r="H68" s="8"/>
      <c r="I68" s="8" t="s">
        <v>34</v>
      </c>
      <c r="J68" s="8" t="str">
        <f>VLOOKUP(I68,'species codes'!$A$2:$B$17,2,FALSE)</f>
        <v>Bluegill sunfish</v>
      </c>
      <c r="K68" s="8">
        <v>175</v>
      </c>
      <c r="L68" s="8">
        <v>1</v>
      </c>
      <c r="O68" s="8" t="str">
        <f t="shared" si="7"/>
        <v>42430Hook &amp; line</v>
      </c>
      <c r="S68" s="5">
        <f t="shared" si="6"/>
        <v>1</v>
      </c>
    </row>
    <row r="69" spans="1:19" x14ac:dyDescent="0.25">
      <c r="A69" s="6">
        <v>42430</v>
      </c>
      <c r="B69" s="7">
        <v>42459</v>
      </c>
      <c r="C69" s="7"/>
      <c r="D69" s="8" t="s">
        <v>23</v>
      </c>
      <c r="E69" s="5" t="str">
        <f>VLOOKUP(D69,'method codes'!$A$2:$B$11,2,FALSE)</f>
        <v>Hook &amp; line</v>
      </c>
      <c r="F69" s="8" t="s">
        <v>14</v>
      </c>
      <c r="G69" s="8" t="s">
        <v>14</v>
      </c>
      <c r="H69" s="8"/>
      <c r="I69" s="8" t="s">
        <v>34</v>
      </c>
      <c r="J69" s="8" t="str">
        <f>VLOOKUP(I69,'species codes'!$A$2:$B$17,2,FALSE)</f>
        <v>Bluegill sunfish</v>
      </c>
      <c r="K69" s="8">
        <v>197</v>
      </c>
      <c r="L69" s="8">
        <v>1</v>
      </c>
      <c r="O69" s="8" t="str">
        <f t="shared" si="7"/>
        <v>42430Hook &amp; line</v>
      </c>
      <c r="S69" s="5">
        <f t="shared" si="6"/>
        <v>1</v>
      </c>
    </row>
    <row r="70" spans="1:19" x14ac:dyDescent="0.25">
      <c r="A70" s="6">
        <v>42430</v>
      </c>
      <c r="B70" s="7">
        <v>42459</v>
      </c>
      <c r="C70" s="7"/>
      <c r="D70" s="8" t="s">
        <v>23</v>
      </c>
      <c r="E70" s="5" t="str">
        <f>VLOOKUP(D70,'method codes'!$A$2:$B$11,2,FALSE)</f>
        <v>Hook &amp; line</v>
      </c>
      <c r="F70" s="8" t="s">
        <v>14</v>
      </c>
      <c r="G70" s="8" t="s">
        <v>14</v>
      </c>
      <c r="H70" s="8"/>
      <c r="I70" s="8" t="s">
        <v>34</v>
      </c>
      <c r="J70" s="8" t="str">
        <f>VLOOKUP(I70,'species codes'!$A$2:$B$17,2,FALSE)</f>
        <v>Bluegill sunfish</v>
      </c>
      <c r="K70" s="8">
        <v>147</v>
      </c>
      <c r="L70" s="8">
        <v>1</v>
      </c>
      <c r="O70" s="8" t="str">
        <f t="shared" si="7"/>
        <v>42430Hook &amp; line</v>
      </c>
      <c r="S70" s="5">
        <f t="shared" si="6"/>
        <v>1</v>
      </c>
    </row>
    <row r="71" spans="1:19" x14ac:dyDescent="0.25">
      <c r="A71" s="6">
        <v>42430</v>
      </c>
      <c r="B71" s="7">
        <v>42459</v>
      </c>
      <c r="C71" s="7"/>
      <c r="D71" s="8" t="s">
        <v>23</v>
      </c>
      <c r="E71" s="5" t="str">
        <f>VLOOKUP(D71,'method codes'!$A$2:$B$11,2,FALSE)</f>
        <v>Hook &amp; line</v>
      </c>
      <c r="F71" s="8" t="s">
        <v>14</v>
      </c>
      <c r="G71" s="8" t="s">
        <v>14</v>
      </c>
      <c r="H71" s="8"/>
      <c r="I71" s="8" t="s">
        <v>34</v>
      </c>
      <c r="J71" s="8" t="str">
        <f>VLOOKUP(I71,'species codes'!$A$2:$B$17,2,FALSE)</f>
        <v>Bluegill sunfish</v>
      </c>
      <c r="K71" s="8">
        <v>155</v>
      </c>
      <c r="L71" s="8">
        <v>1</v>
      </c>
      <c r="O71" s="8" t="str">
        <f t="shared" si="7"/>
        <v>42430Hook &amp; line</v>
      </c>
      <c r="S71" s="5">
        <f t="shared" si="6"/>
        <v>1</v>
      </c>
    </row>
    <row r="72" spans="1:19" x14ac:dyDescent="0.25">
      <c r="A72" s="6">
        <v>42430</v>
      </c>
      <c r="B72" s="7">
        <v>42459</v>
      </c>
      <c r="C72" s="7"/>
      <c r="D72" s="8" t="s">
        <v>23</v>
      </c>
      <c r="E72" s="5" t="str">
        <f>VLOOKUP(D72,'method codes'!$A$2:$B$11,2,FALSE)</f>
        <v>Hook &amp; line</v>
      </c>
      <c r="F72" s="8" t="s">
        <v>14</v>
      </c>
      <c r="G72" s="8" t="s">
        <v>14</v>
      </c>
      <c r="H72" s="8"/>
      <c r="I72" s="8" t="s">
        <v>34</v>
      </c>
      <c r="J72" s="8" t="str">
        <f>VLOOKUP(I72,'species codes'!$A$2:$B$17,2,FALSE)</f>
        <v>Bluegill sunfish</v>
      </c>
      <c r="K72" s="8">
        <v>144</v>
      </c>
      <c r="L72" s="8">
        <v>1</v>
      </c>
      <c r="O72" s="8" t="str">
        <f t="shared" si="7"/>
        <v>42430Hook &amp; line</v>
      </c>
      <c r="S72" s="5">
        <f t="shared" si="6"/>
        <v>1</v>
      </c>
    </row>
    <row r="73" spans="1:19" x14ac:dyDescent="0.25">
      <c r="A73" s="6">
        <v>42430</v>
      </c>
      <c r="B73" s="7">
        <v>42460</v>
      </c>
      <c r="C73" s="7"/>
      <c r="D73" s="8" t="s">
        <v>26</v>
      </c>
      <c r="E73" s="5" t="str">
        <f>VLOOKUP(D73,'method codes'!$A$2:$B$11,2,FALSE)</f>
        <v>Trap</v>
      </c>
      <c r="F73" s="8" t="s">
        <v>21</v>
      </c>
      <c r="G73" s="8" t="s">
        <v>21</v>
      </c>
      <c r="H73" s="8"/>
      <c r="I73" s="8" t="s">
        <v>30</v>
      </c>
      <c r="J73" s="8" t="str">
        <f>VLOOKUP(I73,'species codes'!$A$2:$B$17,2,FALSE)</f>
        <v>Red swamp crayfish</v>
      </c>
      <c r="L73" s="8">
        <v>1</v>
      </c>
      <c r="M73" s="8" t="s">
        <v>73</v>
      </c>
      <c r="O73" s="8" t="str">
        <f t="shared" si="7"/>
        <v>42430Trap</v>
      </c>
      <c r="S73" s="5">
        <f t="shared" si="6"/>
        <v>-1</v>
      </c>
    </row>
    <row r="74" spans="1:19" x14ac:dyDescent="0.25">
      <c r="A74" s="6">
        <v>42430</v>
      </c>
      <c r="B74" s="7">
        <v>42460</v>
      </c>
      <c r="C74" s="7"/>
      <c r="D74" s="8" t="s">
        <v>26</v>
      </c>
      <c r="E74" s="5" t="str">
        <f>VLOOKUP(D74,'method codes'!$A$2:$B$11,2,FALSE)</f>
        <v>Trap</v>
      </c>
      <c r="F74" s="8" t="s">
        <v>21</v>
      </c>
      <c r="G74" s="8" t="s">
        <v>21</v>
      </c>
      <c r="H74" s="8"/>
      <c r="I74" s="8" t="s">
        <v>30</v>
      </c>
      <c r="J74" s="8" t="str">
        <f>VLOOKUP(I74,'species codes'!$A$2:$B$17,2,FALSE)</f>
        <v>Red swamp crayfish</v>
      </c>
      <c r="L74" s="8">
        <v>1</v>
      </c>
      <c r="M74" s="8" t="s">
        <v>54</v>
      </c>
      <c r="O74" s="8" t="str">
        <f t="shared" si="7"/>
        <v>42430Trap</v>
      </c>
      <c r="S74" s="5">
        <f t="shared" si="6"/>
        <v>-1</v>
      </c>
    </row>
    <row r="75" spans="1:19" x14ac:dyDescent="0.25">
      <c r="A75" s="6">
        <v>42430</v>
      </c>
      <c r="B75" s="7">
        <v>42460</v>
      </c>
      <c r="C75" s="7"/>
      <c r="D75" s="8" t="s">
        <v>26</v>
      </c>
      <c r="E75" s="5" t="str">
        <f>VLOOKUP(D75,'method codes'!$A$2:$B$11,2,FALSE)</f>
        <v>Trap</v>
      </c>
      <c r="F75" s="8" t="s">
        <v>21</v>
      </c>
      <c r="G75" s="8" t="s">
        <v>21</v>
      </c>
      <c r="H75" s="8"/>
      <c r="I75" s="8" t="s">
        <v>42</v>
      </c>
      <c r="J75" s="8" t="str">
        <f>VLOOKUP(I75,'species codes'!$A$2:$B$17,2,FALSE)</f>
        <v>African clawed frog</v>
      </c>
      <c r="K75" s="8">
        <v>90</v>
      </c>
      <c r="L75" s="8">
        <v>1</v>
      </c>
      <c r="M75" s="8" t="s">
        <v>56</v>
      </c>
      <c r="N75" s="5" t="s">
        <v>39</v>
      </c>
      <c r="O75" s="8" t="str">
        <f t="shared" si="7"/>
        <v>42430Trap</v>
      </c>
      <c r="S75" s="5">
        <f t="shared" si="6"/>
        <v>-1</v>
      </c>
    </row>
    <row r="76" spans="1:19" x14ac:dyDescent="0.25">
      <c r="A76" s="6">
        <v>42430</v>
      </c>
      <c r="B76" s="7">
        <v>42460</v>
      </c>
      <c r="C76" s="7"/>
      <c r="D76" s="8" t="s">
        <v>26</v>
      </c>
      <c r="E76" s="5" t="str">
        <f>VLOOKUP(D76,'method codes'!$A$2:$B$11,2,FALSE)</f>
        <v>Trap</v>
      </c>
      <c r="F76" s="8" t="s">
        <v>21</v>
      </c>
      <c r="G76" s="8" t="s">
        <v>21</v>
      </c>
      <c r="H76" s="8"/>
      <c r="I76" s="8" t="s">
        <v>30</v>
      </c>
      <c r="J76" s="8" t="str">
        <f>VLOOKUP(I76,'species codes'!$A$2:$B$17,2,FALSE)</f>
        <v>Red swamp crayfish</v>
      </c>
      <c r="L76" s="8">
        <v>12</v>
      </c>
      <c r="M76" s="8" t="s">
        <v>56</v>
      </c>
      <c r="O76" s="8" t="str">
        <f t="shared" si="7"/>
        <v>42430Trap</v>
      </c>
      <c r="S76" s="5">
        <f t="shared" si="6"/>
        <v>-1</v>
      </c>
    </row>
    <row r="77" spans="1:19" x14ac:dyDescent="0.25">
      <c r="A77" s="6">
        <v>42430</v>
      </c>
      <c r="B77" s="7">
        <v>42460</v>
      </c>
      <c r="C77" s="7"/>
      <c r="D77" s="8" t="s">
        <v>26</v>
      </c>
      <c r="E77" s="5" t="str">
        <f>VLOOKUP(D77,'method codes'!$A$2:$B$11,2,FALSE)</f>
        <v>Trap</v>
      </c>
      <c r="F77" s="8" t="s">
        <v>21</v>
      </c>
      <c r="G77" s="8" t="s">
        <v>21</v>
      </c>
      <c r="H77" s="8"/>
      <c r="I77" s="8" t="s">
        <v>30</v>
      </c>
      <c r="J77" s="8" t="str">
        <f>VLOOKUP(I77,'species codes'!$A$2:$B$17,2,FALSE)</f>
        <v>Red swamp crayfish</v>
      </c>
      <c r="L77" s="8">
        <v>8</v>
      </c>
      <c r="M77" s="8" t="s">
        <v>50</v>
      </c>
      <c r="O77" s="8" t="str">
        <f t="shared" si="7"/>
        <v>42430Trap</v>
      </c>
      <c r="S77" s="5">
        <f t="shared" si="6"/>
        <v>-1</v>
      </c>
    </row>
    <row r="78" spans="1:19" x14ac:dyDescent="0.25">
      <c r="A78" s="6">
        <v>42430</v>
      </c>
      <c r="B78" s="7">
        <v>42460</v>
      </c>
      <c r="C78" s="7"/>
      <c r="D78" s="8" t="s">
        <v>26</v>
      </c>
      <c r="E78" s="5" t="str">
        <f>VLOOKUP(D78,'method codes'!$A$2:$B$11,2,FALSE)</f>
        <v>Trap</v>
      </c>
      <c r="F78" s="8" t="s">
        <v>31</v>
      </c>
      <c r="G78" s="8" t="s">
        <v>22</v>
      </c>
      <c r="H78" s="8"/>
      <c r="I78" s="8" t="s">
        <v>30</v>
      </c>
      <c r="J78" s="8" t="str">
        <f>VLOOKUP(I78,'species codes'!$A$2:$B$17,2,FALSE)</f>
        <v>Red swamp crayfish</v>
      </c>
      <c r="L78" s="8">
        <v>1</v>
      </c>
      <c r="M78" s="8" t="s">
        <v>57</v>
      </c>
      <c r="O78" s="8" t="str">
        <f t="shared" si="7"/>
        <v>42430Trap</v>
      </c>
      <c r="S78" s="5">
        <f t="shared" si="6"/>
        <v>1</v>
      </c>
    </row>
    <row r="79" spans="1:19" x14ac:dyDescent="0.25">
      <c r="A79" s="6">
        <v>42430</v>
      </c>
      <c r="B79" s="7">
        <v>42460</v>
      </c>
      <c r="C79" s="7"/>
      <c r="D79" s="8" t="s">
        <v>26</v>
      </c>
      <c r="E79" s="5" t="str">
        <f>VLOOKUP(D79,'method codes'!$A$2:$B$11,2,FALSE)</f>
        <v>Trap</v>
      </c>
      <c r="F79" s="8" t="s">
        <v>36</v>
      </c>
      <c r="G79" s="8" t="s">
        <v>14</v>
      </c>
      <c r="H79" s="8"/>
      <c r="I79" s="8" t="s">
        <v>30</v>
      </c>
      <c r="J79" s="8" t="str">
        <f>VLOOKUP(I79,'species codes'!$A$2:$B$17,2,FALSE)</f>
        <v>Red swamp crayfish</v>
      </c>
      <c r="L79" s="8">
        <v>1</v>
      </c>
      <c r="M79" s="8" t="s">
        <v>59</v>
      </c>
      <c r="O79" s="8" t="str">
        <f t="shared" si="7"/>
        <v>42430Trap</v>
      </c>
      <c r="S79" s="5">
        <f t="shared" si="6"/>
        <v>-1</v>
      </c>
    </row>
    <row r="80" spans="1:19" x14ac:dyDescent="0.25">
      <c r="A80" s="6">
        <v>42430</v>
      </c>
      <c r="B80" s="7">
        <v>42460</v>
      </c>
      <c r="C80" s="7"/>
      <c r="D80" s="8" t="s">
        <v>26</v>
      </c>
      <c r="E80" s="5" t="str">
        <f>VLOOKUP(D80,'method codes'!$A$2:$B$11,2,FALSE)</f>
        <v>Trap</v>
      </c>
      <c r="F80" s="8" t="s">
        <v>36</v>
      </c>
      <c r="G80" s="8" t="s">
        <v>14</v>
      </c>
      <c r="H80" s="8"/>
      <c r="I80" s="8" t="s">
        <v>29</v>
      </c>
      <c r="J80" s="8" t="str">
        <f>VLOOKUP(I80,'species codes'!$A$2:$B$17,2,FALSE)</f>
        <v>Bullfrog tadpole</v>
      </c>
      <c r="L80" s="8">
        <v>2</v>
      </c>
      <c r="M80" s="8" t="s">
        <v>59</v>
      </c>
      <c r="O80" s="8" t="str">
        <f t="shared" si="7"/>
        <v>42430Trap</v>
      </c>
      <c r="S80" s="5">
        <f t="shared" si="6"/>
        <v>-1</v>
      </c>
    </row>
    <row r="81" spans="1:19" x14ac:dyDescent="0.25">
      <c r="A81" s="6">
        <v>42430</v>
      </c>
      <c r="B81" s="7">
        <v>42460</v>
      </c>
      <c r="C81" s="7"/>
      <c r="D81" s="8" t="s">
        <v>26</v>
      </c>
      <c r="E81" s="5" t="str">
        <f>VLOOKUP(D81,'method codes'!$A$2:$B$11,2,FALSE)</f>
        <v>Trap</v>
      </c>
      <c r="F81" s="8" t="s">
        <v>36</v>
      </c>
      <c r="G81" s="8" t="s">
        <v>14</v>
      </c>
      <c r="H81" s="8"/>
      <c r="I81" s="8" t="s">
        <v>30</v>
      </c>
      <c r="J81" s="8" t="str">
        <f>VLOOKUP(I81,'species codes'!$A$2:$B$17,2,FALSE)</f>
        <v>Red swamp crayfish</v>
      </c>
      <c r="L81" s="8">
        <v>1</v>
      </c>
      <c r="M81" s="8" t="s">
        <v>65</v>
      </c>
      <c r="O81" s="8" t="str">
        <f t="shared" si="7"/>
        <v>42430Trap</v>
      </c>
      <c r="S81" s="5">
        <f t="shared" si="6"/>
        <v>-1</v>
      </c>
    </row>
    <row r="82" spans="1:19" x14ac:dyDescent="0.25">
      <c r="A82" s="6">
        <v>42430</v>
      </c>
      <c r="B82" s="7">
        <v>42460</v>
      </c>
      <c r="C82" s="7"/>
      <c r="D82" s="8" t="s">
        <v>26</v>
      </c>
      <c r="E82" s="5" t="str">
        <f>VLOOKUP(D82,'method codes'!$A$2:$B$11,2,FALSE)</f>
        <v>Trap</v>
      </c>
      <c r="F82" s="8" t="s">
        <v>36</v>
      </c>
      <c r="G82" s="8" t="s">
        <v>14</v>
      </c>
      <c r="H82" s="8"/>
      <c r="I82" s="8" t="s">
        <v>29</v>
      </c>
      <c r="J82" s="8" t="str">
        <f>VLOOKUP(I82,'species codes'!$A$2:$B$17,2,FALSE)</f>
        <v>Bullfrog tadpole</v>
      </c>
      <c r="L82" s="8">
        <v>1</v>
      </c>
      <c r="M82" s="8" t="s">
        <v>65</v>
      </c>
      <c r="O82" s="8" t="str">
        <f t="shared" si="7"/>
        <v>42430Trap</v>
      </c>
      <c r="S82" s="5">
        <f t="shared" si="6"/>
        <v>-1</v>
      </c>
    </row>
    <row r="83" spans="1:19" x14ac:dyDescent="0.25">
      <c r="A83" s="6">
        <v>42430</v>
      </c>
      <c r="B83" s="7">
        <v>42460</v>
      </c>
      <c r="C83" s="7"/>
      <c r="D83" s="8" t="s">
        <v>26</v>
      </c>
      <c r="E83" s="5" t="str">
        <f>VLOOKUP(D83,'method codes'!$A$2:$B$11,2,FALSE)</f>
        <v>Trap</v>
      </c>
      <c r="F83" s="8" t="s">
        <v>18</v>
      </c>
      <c r="G83" s="8" t="s">
        <v>14</v>
      </c>
      <c r="H83" s="8"/>
      <c r="I83" s="8" t="s">
        <v>30</v>
      </c>
      <c r="J83" s="8" t="str">
        <f>VLOOKUP(I83,'species codes'!$A$2:$B$17,2,FALSE)</f>
        <v>Red swamp crayfish</v>
      </c>
      <c r="L83" s="8">
        <v>1</v>
      </c>
      <c r="M83" s="8" t="s">
        <v>71</v>
      </c>
      <c r="O83" s="8" t="str">
        <f t="shared" si="7"/>
        <v>42430Trap</v>
      </c>
      <c r="S83" s="5">
        <f t="shared" si="6"/>
        <v>-1</v>
      </c>
    </row>
    <row r="84" spans="1:19" x14ac:dyDescent="0.25">
      <c r="A84" s="6">
        <v>42430</v>
      </c>
      <c r="B84" s="7">
        <v>42460</v>
      </c>
      <c r="C84" s="7"/>
      <c r="D84" s="8" t="s">
        <v>26</v>
      </c>
      <c r="E84" s="5" t="str">
        <f>VLOOKUP(D84,'method codes'!$A$2:$B$11,2,FALSE)</f>
        <v>Trap</v>
      </c>
      <c r="F84" s="8" t="s">
        <v>18</v>
      </c>
      <c r="G84" s="8" t="s">
        <v>14</v>
      </c>
      <c r="H84" s="8"/>
      <c r="I84" s="8" t="s">
        <v>30</v>
      </c>
      <c r="J84" s="8" t="str">
        <f>VLOOKUP(I84,'species codes'!$A$2:$B$17,2,FALSE)</f>
        <v>Red swamp crayfish</v>
      </c>
      <c r="L84" s="8">
        <v>1</v>
      </c>
      <c r="M84" s="8" t="s">
        <v>74</v>
      </c>
      <c r="O84" s="8" t="str">
        <f t="shared" si="7"/>
        <v>42430Trap</v>
      </c>
      <c r="S84" s="5">
        <f t="shared" si="6"/>
        <v>-1</v>
      </c>
    </row>
    <row r="85" spans="1:19" x14ac:dyDescent="0.25">
      <c r="A85" s="6">
        <v>42430</v>
      </c>
      <c r="B85" s="7">
        <v>42460</v>
      </c>
      <c r="C85" s="7"/>
      <c r="D85" s="8" t="s">
        <v>26</v>
      </c>
      <c r="E85" s="5" t="str">
        <f>VLOOKUP(D85,'method codes'!$A$2:$B$11,2,FALSE)</f>
        <v>Trap</v>
      </c>
      <c r="F85" s="8" t="s">
        <v>18</v>
      </c>
      <c r="G85" s="8" t="s">
        <v>14</v>
      </c>
      <c r="H85" s="8"/>
      <c r="I85" s="8" t="s">
        <v>30</v>
      </c>
      <c r="J85" s="8" t="str">
        <f>VLOOKUP(I85,'species codes'!$A$2:$B$17,2,FALSE)</f>
        <v>Red swamp crayfish</v>
      </c>
      <c r="L85" s="8">
        <v>1</v>
      </c>
      <c r="M85" s="8" t="s">
        <v>66</v>
      </c>
      <c r="O85" s="8" t="str">
        <f t="shared" si="7"/>
        <v>42430Trap</v>
      </c>
      <c r="S85" s="5">
        <f t="shared" si="6"/>
        <v>-1</v>
      </c>
    </row>
    <row r="86" spans="1:19" x14ac:dyDescent="0.25">
      <c r="A86" s="6">
        <v>42430</v>
      </c>
      <c r="B86" s="7">
        <v>42461</v>
      </c>
      <c r="C86" s="7"/>
      <c r="D86" s="8" t="s">
        <v>26</v>
      </c>
      <c r="E86" s="5" t="str">
        <f>VLOOKUP(D86,'method codes'!$A$2:$B$11,2,FALSE)</f>
        <v>Trap</v>
      </c>
      <c r="F86" s="8" t="s">
        <v>18</v>
      </c>
      <c r="G86" s="8" t="s">
        <v>14</v>
      </c>
      <c r="H86" s="8"/>
      <c r="I86" s="8" t="s">
        <v>30</v>
      </c>
      <c r="J86" s="8" t="str">
        <f>VLOOKUP(I86,'species codes'!$A$2:$B$17,2,FALSE)</f>
        <v>Red swamp crayfish</v>
      </c>
      <c r="L86" s="8">
        <v>1</v>
      </c>
      <c r="M86" s="8" t="s">
        <v>74</v>
      </c>
      <c r="O86" s="8" t="str">
        <f t="shared" si="7"/>
        <v>42430Trap</v>
      </c>
      <c r="S86" s="5">
        <f t="shared" si="6"/>
        <v>-1</v>
      </c>
    </row>
    <row r="87" spans="1:19" x14ac:dyDescent="0.25">
      <c r="A87" s="6">
        <v>42430</v>
      </c>
      <c r="B87" s="7">
        <v>42461</v>
      </c>
      <c r="C87" s="7"/>
      <c r="D87" s="8" t="s">
        <v>26</v>
      </c>
      <c r="E87" s="5" t="str">
        <f>VLOOKUP(D87,'method codes'!$A$2:$B$11,2,FALSE)</f>
        <v>Trap</v>
      </c>
      <c r="F87" s="8" t="s">
        <v>18</v>
      </c>
      <c r="G87" s="8" t="s">
        <v>14</v>
      </c>
      <c r="H87" s="8"/>
      <c r="I87" s="8" t="s">
        <v>30</v>
      </c>
      <c r="J87" s="8" t="str">
        <f>VLOOKUP(I87,'species codes'!$A$2:$B$17,2,FALSE)</f>
        <v>Red swamp crayfish</v>
      </c>
      <c r="L87" s="8">
        <v>2</v>
      </c>
      <c r="M87" s="8" t="s">
        <v>75</v>
      </c>
      <c r="O87" s="8" t="str">
        <f t="shared" si="7"/>
        <v>42430Trap</v>
      </c>
      <c r="S87" s="5">
        <f t="shared" si="6"/>
        <v>-1</v>
      </c>
    </row>
    <row r="88" spans="1:19" x14ac:dyDescent="0.25">
      <c r="A88" s="6">
        <v>42430</v>
      </c>
      <c r="B88" s="7">
        <v>42461</v>
      </c>
      <c r="C88" s="7"/>
      <c r="D88" s="8" t="s">
        <v>26</v>
      </c>
      <c r="E88" s="5" t="str">
        <f>VLOOKUP(D88,'method codes'!$A$2:$B$11,2,FALSE)</f>
        <v>Trap</v>
      </c>
      <c r="F88" s="8" t="s">
        <v>18</v>
      </c>
      <c r="G88" s="8" t="s">
        <v>14</v>
      </c>
      <c r="H88" s="8"/>
      <c r="I88" s="8" t="s">
        <v>30</v>
      </c>
      <c r="J88" s="8" t="str">
        <f>VLOOKUP(I88,'species codes'!$A$2:$B$17,2,FALSE)</f>
        <v>Red swamp crayfish</v>
      </c>
      <c r="L88" s="8">
        <v>1</v>
      </c>
      <c r="M88" s="8" t="s">
        <v>76</v>
      </c>
      <c r="O88" s="8" t="str">
        <f t="shared" si="7"/>
        <v>42430Trap</v>
      </c>
      <c r="S88" s="5">
        <f t="shared" si="6"/>
        <v>-1</v>
      </c>
    </row>
    <row r="89" spans="1:19" x14ac:dyDescent="0.25">
      <c r="A89" s="6">
        <v>42430</v>
      </c>
      <c r="B89" s="7">
        <v>42461</v>
      </c>
      <c r="C89" s="7"/>
      <c r="D89" s="8" t="s">
        <v>26</v>
      </c>
      <c r="E89" s="5" t="str">
        <f>VLOOKUP(D89,'method codes'!$A$2:$B$11,2,FALSE)</f>
        <v>Trap</v>
      </c>
      <c r="F89" s="8" t="s">
        <v>36</v>
      </c>
      <c r="G89" s="8" t="s">
        <v>14</v>
      </c>
      <c r="H89" s="8"/>
      <c r="I89" s="8" t="s">
        <v>30</v>
      </c>
      <c r="J89" s="8" t="str">
        <f>VLOOKUP(I89,'species codes'!$A$2:$B$17,2,FALSE)</f>
        <v>Red swamp crayfish</v>
      </c>
      <c r="L89" s="8">
        <v>1</v>
      </c>
      <c r="M89" s="8" t="s">
        <v>77</v>
      </c>
      <c r="O89" s="8" t="str">
        <f t="shared" si="7"/>
        <v>42430Trap</v>
      </c>
      <c r="S89" s="5">
        <f t="shared" si="6"/>
        <v>-1</v>
      </c>
    </row>
    <row r="90" spans="1:19" x14ac:dyDescent="0.25">
      <c r="A90" s="6">
        <v>42430</v>
      </c>
      <c r="B90" s="7">
        <v>42461</v>
      </c>
      <c r="C90" s="7"/>
      <c r="D90" s="8" t="s">
        <v>26</v>
      </c>
      <c r="E90" s="5" t="str">
        <f>VLOOKUP(D90,'method codes'!$A$2:$B$11,2,FALSE)</f>
        <v>Trap</v>
      </c>
      <c r="F90" s="8" t="s">
        <v>36</v>
      </c>
      <c r="G90" s="8" t="s">
        <v>14</v>
      </c>
      <c r="H90" s="8"/>
      <c r="I90" s="8" t="s">
        <v>30</v>
      </c>
      <c r="J90" s="8" t="str">
        <f>VLOOKUP(I90,'species codes'!$A$2:$B$17,2,FALSE)</f>
        <v>Red swamp crayfish</v>
      </c>
      <c r="L90" s="8">
        <v>1</v>
      </c>
      <c r="M90" s="8" t="s">
        <v>65</v>
      </c>
      <c r="O90" s="8" t="str">
        <f t="shared" si="7"/>
        <v>42430Trap</v>
      </c>
      <c r="S90" s="5">
        <f t="shared" si="6"/>
        <v>-1</v>
      </c>
    </row>
    <row r="91" spans="1:19" x14ac:dyDescent="0.25">
      <c r="A91" s="6">
        <v>42430</v>
      </c>
      <c r="B91" s="7">
        <v>42461</v>
      </c>
      <c r="C91" s="7"/>
      <c r="D91" s="8" t="s">
        <v>26</v>
      </c>
      <c r="E91" s="5" t="str">
        <f>VLOOKUP(D91,'method codes'!$A$2:$B$11,2,FALSE)</f>
        <v>Trap</v>
      </c>
      <c r="F91" s="8" t="s">
        <v>36</v>
      </c>
      <c r="G91" s="8" t="s">
        <v>14</v>
      </c>
      <c r="H91" s="8"/>
      <c r="I91" s="8" t="s">
        <v>30</v>
      </c>
      <c r="J91" s="8" t="str">
        <f>VLOOKUP(I91,'species codes'!$A$2:$B$17,2,FALSE)</f>
        <v>Red swamp crayfish</v>
      </c>
      <c r="L91" s="8">
        <v>1</v>
      </c>
      <c r="M91" s="8" t="s">
        <v>78</v>
      </c>
      <c r="O91" s="8" t="str">
        <f t="shared" si="7"/>
        <v>42430Trap</v>
      </c>
      <c r="S91" s="5">
        <f t="shared" si="6"/>
        <v>-1</v>
      </c>
    </row>
    <row r="92" spans="1:19" x14ac:dyDescent="0.25">
      <c r="A92" s="6">
        <v>42430</v>
      </c>
      <c r="B92" s="7">
        <v>42461</v>
      </c>
      <c r="C92" s="7"/>
      <c r="D92" s="8" t="s">
        <v>26</v>
      </c>
      <c r="E92" s="5" t="str">
        <f>VLOOKUP(D92,'method codes'!$A$2:$B$11,2,FALSE)</f>
        <v>Trap</v>
      </c>
      <c r="F92" s="8" t="s">
        <v>36</v>
      </c>
      <c r="G92" s="8" t="s">
        <v>14</v>
      </c>
      <c r="H92" s="8"/>
      <c r="I92" s="8" t="s">
        <v>30</v>
      </c>
      <c r="J92" s="8" t="str">
        <f>VLOOKUP(I92,'species codes'!$A$2:$B$17,2,FALSE)</f>
        <v>Red swamp crayfish</v>
      </c>
      <c r="L92" s="8">
        <v>1</v>
      </c>
      <c r="M92" s="8" t="s">
        <v>59</v>
      </c>
      <c r="O92" s="8" t="str">
        <f t="shared" si="7"/>
        <v>42430Trap</v>
      </c>
      <c r="S92" s="5">
        <f t="shared" si="6"/>
        <v>-1</v>
      </c>
    </row>
    <row r="93" spans="1:19" x14ac:dyDescent="0.25">
      <c r="A93" s="6">
        <v>42430</v>
      </c>
      <c r="B93" s="7">
        <v>42461</v>
      </c>
      <c r="C93" s="7"/>
      <c r="D93" s="8" t="s">
        <v>26</v>
      </c>
      <c r="E93" s="5" t="str">
        <f>VLOOKUP(D93,'method codes'!$A$2:$B$11,2,FALSE)</f>
        <v>Trap</v>
      </c>
      <c r="F93" s="8" t="s">
        <v>31</v>
      </c>
      <c r="G93" s="8" t="s">
        <v>22</v>
      </c>
      <c r="H93" s="8"/>
      <c r="I93" s="8" t="s">
        <v>30</v>
      </c>
      <c r="J93" s="8" t="str">
        <f>VLOOKUP(I93,'species codes'!$A$2:$B$17,2,FALSE)</f>
        <v>Red swamp crayfish</v>
      </c>
      <c r="L93" s="8">
        <v>1</v>
      </c>
      <c r="M93" s="8" t="s">
        <v>79</v>
      </c>
      <c r="O93" s="8" t="str">
        <f t="shared" si="7"/>
        <v>42430Trap</v>
      </c>
      <c r="S93" s="5">
        <f t="shared" si="6"/>
        <v>1</v>
      </c>
    </row>
    <row r="94" spans="1:19" x14ac:dyDescent="0.25">
      <c r="A94" s="6">
        <v>42430</v>
      </c>
      <c r="B94" s="7">
        <v>42461</v>
      </c>
      <c r="C94" s="7"/>
      <c r="D94" s="8" t="s">
        <v>26</v>
      </c>
      <c r="E94" s="5" t="str">
        <f>VLOOKUP(D94,'method codes'!$A$2:$B$11,2,FALSE)</f>
        <v>Trap</v>
      </c>
      <c r="F94" s="8" t="s">
        <v>21</v>
      </c>
      <c r="G94" s="8" t="s">
        <v>21</v>
      </c>
      <c r="H94" s="8"/>
      <c r="I94" s="8" t="s">
        <v>30</v>
      </c>
      <c r="J94" s="8" t="str">
        <f>VLOOKUP(I94,'species codes'!$A$2:$B$17,2,FALSE)</f>
        <v>Red swamp crayfish</v>
      </c>
      <c r="L94" s="8">
        <v>1</v>
      </c>
      <c r="M94" s="8" t="s">
        <v>53</v>
      </c>
      <c r="O94" s="8" t="str">
        <f t="shared" si="7"/>
        <v>42430Trap</v>
      </c>
      <c r="S94" s="5">
        <f t="shared" si="6"/>
        <v>-1</v>
      </c>
    </row>
    <row r="95" spans="1:19" x14ac:dyDescent="0.25">
      <c r="A95" s="6">
        <v>42430</v>
      </c>
      <c r="B95" s="7">
        <v>42461</v>
      </c>
      <c r="C95" s="7"/>
      <c r="D95" s="8" t="s">
        <v>26</v>
      </c>
      <c r="E95" s="5" t="str">
        <f>VLOOKUP(D95,'method codes'!$A$2:$B$11,2,FALSE)</f>
        <v>Trap</v>
      </c>
      <c r="F95" s="8" t="s">
        <v>21</v>
      </c>
      <c r="G95" s="8" t="s">
        <v>21</v>
      </c>
      <c r="H95" s="8"/>
      <c r="I95" s="8" t="s">
        <v>30</v>
      </c>
      <c r="J95" s="8" t="str">
        <f>VLOOKUP(I95,'species codes'!$A$2:$B$17,2,FALSE)</f>
        <v>Red swamp crayfish</v>
      </c>
      <c r="L95" s="8">
        <v>3</v>
      </c>
      <c r="M95" s="8" t="s">
        <v>50</v>
      </c>
      <c r="O95" s="8" t="str">
        <f t="shared" si="7"/>
        <v>42430Trap</v>
      </c>
      <c r="S95" s="5">
        <f t="shared" si="6"/>
        <v>-1</v>
      </c>
    </row>
    <row r="96" spans="1:19" x14ac:dyDescent="0.25">
      <c r="A96" s="6">
        <v>42430</v>
      </c>
      <c r="B96" s="7">
        <v>42461</v>
      </c>
      <c r="C96" s="7"/>
      <c r="D96" s="8" t="s">
        <v>26</v>
      </c>
      <c r="E96" s="5" t="str">
        <f>VLOOKUP(D96,'method codes'!$A$2:$B$11,2,FALSE)</f>
        <v>Trap</v>
      </c>
      <c r="F96" s="8" t="s">
        <v>21</v>
      </c>
      <c r="G96" s="8" t="s">
        <v>21</v>
      </c>
      <c r="H96" s="8"/>
      <c r="I96" s="8" t="s">
        <v>30</v>
      </c>
      <c r="J96" s="8" t="str">
        <f>VLOOKUP(I96,'species codes'!$A$2:$B$17,2,FALSE)</f>
        <v>Red swamp crayfish</v>
      </c>
      <c r="L96" s="8">
        <v>1</v>
      </c>
      <c r="M96" s="8" t="s">
        <v>54</v>
      </c>
      <c r="O96" s="8" t="str">
        <f t="shared" si="7"/>
        <v>42430Trap</v>
      </c>
      <c r="S96" s="5">
        <f t="shared" si="6"/>
        <v>-1</v>
      </c>
    </row>
  </sheetData>
  <autoFilter ref="A1:O96"/>
  <printOptions horizontalCentered="1"/>
  <pageMargins left="0.25" right="0.25" top="0.75" bottom="0.75" header="0.3" footer="0.3"/>
  <pageSetup orientation="portrait" verticalDpi="1200" r:id="rId1"/>
  <headerFooter>
    <oddFooter xml:space="preserve">&amp;L&amp;"-,Italic"Method:&amp;"-,Regular" &amp;"-,Bold"&amp;UT&amp;"-,Regular"&amp;Urap/&amp;"-,Bold"&amp;UG&amp;"-,Regular"&amp;Uig/&amp;"-,Bold"&amp;UN&amp;"-,Regular"&amp;Uet/&amp;"-,Bold"&amp;UH&amp;"-,Regular"&amp;Uook+line  
&amp;C&amp;"-,Italic"Disposition: &amp;"-,Bold"&amp;UE&amp;"-,Regular"&amp;Uuthanized/&amp;"-,Bold"&amp;UR&amp;"-,Regular"&amp;Ueleased
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sqref="A1:B1"/>
    </sheetView>
  </sheetViews>
  <sheetFormatPr defaultRowHeight="15" x14ac:dyDescent="0.25"/>
  <sheetData>
    <row r="1" spans="1:2" x14ac:dyDescent="0.25">
      <c r="A1" s="9" t="s">
        <v>88</v>
      </c>
      <c r="B1" s="9" t="s">
        <v>89</v>
      </c>
    </row>
    <row r="2" spans="1:2" x14ac:dyDescent="0.25">
      <c r="A2" s="5" t="s">
        <v>26</v>
      </c>
      <c r="B2" s="5" t="s">
        <v>90</v>
      </c>
    </row>
    <row r="3" spans="1:2" x14ac:dyDescent="0.25">
      <c r="A3" s="5" t="s">
        <v>13</v>
      </c>
      <c r="B3" s="5" t="s">
        <v>91</v>
      </c>
    </row>
    <row r="4" spans="1:2" x14ac:dyDescent="0.25">
      <c r="A4" s="5" t="s">
        <v>19</v>
      </c>
      <c r="B4" s="5" t="s">
        <v>92</v>
      </c>
    </row>
    <row r="5" spans="1:2" x14ac:dyDescent="0.25">
      <c r="A5" s="5" t="s">
        <v>23</v>
      </c>
      <c r="B5" s="5" t="s">
        <v>93</v>
      </c>
    </row>
    <row r="6" spans="1:2" x14ac:dyDescent="0.25">
      <c r="A6" s="5" t="s">
        <v>43</v>
      </c>
      <c r="B6" s="5" t="s">
        <v>94</v>
      </c>
    </row>
    <row r="7" spans="1:2" x14ac:dyDescent="0.25">
      <c r="A7" s="5" t="s">
        <v>16</v>
      </c>
      <c r="B7" s="5" t="s">
        <v>95</v>
      </c>
    </row>
    <row r="8" spans="1:2" x14ac:dyDescent="0.25">
      <c r="A8" s="5" t="s">
        <v>44</v>
      </c>
      <c r="B8" s="5" t="s">
        <v>96</v>
      </c>
    </row>
    <row r="9" spans="1:2" x14ac:dyDescent="0.25">
      <c r="A9" s="8" t="s">
        <v>17</v>
      </c>
      <c r="B9" s="8" t="s">
        <v>97</v>
      </c>
    </row>
    <row r="10" spans="1:2" x14ac:dyDescent="0.25">
      <c r="A10" s="8" t="s">
        <v>98</v>
      </c>
      <c r="B10" s="8" t="s">
        <v>99</v>
      </c>
    </row>
    <row r="11" spans="1:2" x14ac:dyDescent="0.25">
      <c r="A11" s="8" t="s">
        <v>47</v>
      </c>
      <c r="B11" s="8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C22" sqref="C22"/>
    </sheetView>
  </sheetViews>
  <sheetFormatPr defaultRowHeight="15" x14ac:dyDescent="0.25"/>
  <sheetData>
    <row r="1" spans="1:2" x14ac:dyDescent="0.25">
      <c r="A1" s="9" t="s">
        <v>88</v>
      </c>
      <c r="B1" s="9" t="s">
        <v>7</v>
      </c>
    </row>
    <row r="2" spans="1:2" x14ac:dyDescent="0.25">
      <c r="A2" s="8" t="s">
        <v>42</v>
      </c>
      <c r="B2" t="s">
        <v>49</v>
      </c>
    </row>
    <row r="3" spans="1:2" x14ac:dyDescent="0.25">
      <c r="A3" s="8" t="s">
        <v>41</v>
      </c>
      <c r="B3" t="s">
        <v>80</v>
      </c>
    </row>
    <row r="4" spans="1:2" x14ac:dyDescent="0.25">
      <c r="A4" s="8" t="s">
        <v>15</v>
      </c>
      <c r="B4" t="s">
        <v>48</v>
      </c>
    </row>
    <row r="5" spans="1:2" x14ac:dyDescent="0.25">
      <c r="A5" s="8" t="s">
        <v>29</v>
      </c>
      <c r="B5" t="s">
        <v>69</v>
      </c>
    </row>
    <row r="6" spans="1:2" x14ac:dyDescent="0.25">
      <c r="A6" s="8" t="s">
        <v>34</v>
      </c>
      <c r="B6" t="s">
        <v>62</v>
      </c>
    </row>
    <row r="7" spans="1:2" x14ac:dyDescent="0.25">
      <c r="A7" s="8" t="s">
        <v>24</v>
      </c>
      <c r="B7" t="s">
        <v>81</v>
      </c>
    </row>
    <row r="8" spans="1:2" x14ac:dyDescent="0.25">
      <c r="A8" s="8" t="s">
        <v>20</v>
      </c>
      <c r="B8" t="s">
        <v>60</v>
      </c>
    </row>
    <row r="9" spans="1:2" x14ac:dyDescent="0.25">
      <c r="A9" s="8" t="s">
        <v>33</v>
      </c>
      <c r="B9" t="s">
        <v>33</v>
      </c>
    </row>
    <row r="10" spans="1:2" x14ac:dyDescent="0.25">
      <c r="A10" s="8" t="s">
        <v>28</v>
      </c>
      <c r="B10" t="s">
        <v>82</v>
      </c>
    </row>
    <row r="11" spans="1:2" x14ac:dyDescent="0.25">
      <c r="A11" s="8" t="s">
        <v>32</v>
      </c>
      <c r="B11" t="s">
        <v>67</v>
      </c>
    </row>
    <row r="12" spans="1:2" x14ac:dyDescent="0.25">
      <c r="A12" s="8" t="s">
        <v>27</v>
      </c>
      <c r="B12" t="s">
        <v>83</v>
      </c>
    </row>
    <row r="13" spans="1:2" x14ac:dyDescent="0.25">
      <c r="A13" s="8" t="s">
        <v>30</v>
      </c>
      <c r="B13" t="s">
        <v>51</v>
      </c>
    </row>
    <row r="14" spans="1:2" x14ac:dyDescent="0.25">
      <c r="A14" s="8" t="s">
        <v>25</v>
      </c>
      <c r="B14" t="s">
        <v>84</v>
      </c>
    </row>
    <row r="15" spans="1:2" x14ac:dyDescent="0.25">
      <c r="A15" s="8" t="s">
        <v>40</v>
      </c>
      <c r="B15" t="s">
        <v>85</v>
      </c>
    </row>
    <row r="16" spans="1:2" x14ac:dyDescent="0.25">
      <c r="A16" s="8" t="s">
        <v>37</v>
      </c>
      <c r="B16" t="s">
        <v>86</v>
      </c>
    </row>
    <row r="17" spans="1:2" x14ac:dyDescent="0.25">
      <c r="A17" s="8" t="s">
        <v>46</v>
      </c>
      <c r="B17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B1" sqref="B1"/>
    </sheetView>
  </sheetViews>
  <sheetFormatPr defaultRowHeight="15" x14ac:dyDescent="0.25"/>
  <cols>
    <col min="1" max="1" width="14" customWidth="1"/>
    <col min="2" max="2" width="13.85546875" customWidth="1"/>
    <col min="4" max="4" width="25.85546875" bestFit="1" customWidth="1"/>
  </cols>
  <sheetData>
    <row r="1" spans="1:6" x14ac:dyDescent="0.25">
      <c r="A1" s="9" t="s">
        <v>101</v>
      </c>
      <c r="B1" s="10">
        <v>42401</v>
      </c>
      <c r="C1" s="9" t="s">
        <v>102</v>
      </c>
      <c r="D1" s="9" t="s">
        <v>7</v>
      </c>
      <c r="E1" s="9" t="s">
        <v>119</v>
      </c>
      <c r="F1" s="9" t="s">
        <v>118</v>
      </c>
    </row>
    <row r="2" spans="1:6" x14ac:dyDescent="0.25">
      <c r="C2" t="s">
        <v>29</v>
      </c>
      <c r="D2" t="str">
        <f>VLOOKUP(C2,'species codes'!$A$2:$B$17,2,FALSE)</f>
        <v>Bullfrog tadpole</v>
      </c>
      <c r="E2">
        <f>SUMIFS('Trapping-gigging'!$L$2:$L$1048576,'Trapping-gigging'!$I$2:$I$1048576,'month summary'!$C2,'Trapping-gigging'!$A$2:$A$1048576,'month summary'!$B$1)</f>
        <v>0</v>
      </c>
      <c r="F2" s="5">
        <f t="array" ref="F2">MAX(IF('Trapping-gigging'!$I$2:$I$96=C2,1)*IF('Trapping-gigging'!$A$2:$A$96='month summary'!$B$1,1,0)*('Trapping-gigging'!$K$2:$K$96))</f>
        <v>0</v>
      </c>
    </row>
    <row r="3" spans="1:6" x14ac:dyDescent="0.25">
      <c r="A3" s="9"/>
      <c r="B3" s="11"/>
      <c r="C3" t="s">
        <v>15</v>
      </c>
      <c r="D3" t="str">
        <f>VLOOKUP(C3,'species codes'!$A$2:$B$17,2,FALSE)</f>
        <v>Bullfrog</v>
      </c>
      <c r="E3">
        <f>SUMIFS('Trapping-gigging'!$L$2:$L$1048576,'Trapping-gigging'!$I$2:$I$1048576,'month summary'!$C3,'Trapping-gigging'!$A$2:$A$1048576,'month summary'!$B$1)</f>
        <v>4</v>
      </c>
      <c r="F3" s="5">
        <f t="array" ref="F3">MAX(IF('Trapping-gigging'!$I$2:$I$96=C3,1)*IF('Trapping-gigging'!$A$2:$A$96='month summary'!$B$1,1,0)*('Trapping-gigging'!$K$2:$K$96))</f>
        <v>198</v>
      </c>
    </row>
    <row r="4" spans="1:6" x14ac:dyDescent="0.25">
      <c r="B4" s="12"/>
      <c r="C4" t="s">
        <v>34</v>
      </c>
      <c r="D4" t="str">
        <f>VLOOKUP(C4,'species codes'!$A$2:$B$17,2,FALSE)</f>
        <v>Bluegill sunfish</v>
      </c>
      <c r="E4">
        <f>SUMIFS('Trapping-gigging'!$L$2:$L$1048576,'Trapping-gigging'!$I$2:$I$1048576,'month summary'!$C4,'Trapping-gigging'!$A$2:$A$1048576,'month summary'!$B$1)</f>
        <v>1</v>
      </c>
      <c r="F4" s="5">
        <f t="array" ref="F4">MAX(IF('Trapping-gigging'!$I$2:$I$96=C4,1)*IF('Trapping-gigging'!$A$2:$A$96='month summary'!$B$1,1,0)*('Trapping-gigging'!$K$2:$K$96))</f>
        <v>138</v>
      </c>
    </row>
    <row r="5" spans="1:6" x14ac:dyDescent="0.25">
      <c r="B5" s="12"/>
      <c r="C5" t="s">
        <v>28</v>
      </c>
      <c r="D5" t="str">
        <f>VLOOKUP(C5,'species codes'!$A$2:$B$17,2,FALSE)</f>
        <v>Prickly sculpin</v>
      </c>
      <c r="E5">
        <f>SUMIFS('Trapping-gigging'!$L$2:$L$1048576,'Trapping-gigging'!$I$2:$I$1048576,'month summary'!$C5,'Trapping-gigging'!$A$2:$A$1048576,'month summary'!$B$1)</f>
        <v>0</v>
      </c>
      <c r="F5" s="5">
        <f t="array" ref="F5">MAX(IF('Trapping-gigging'!$I$2:$I$96=C5,1)*IF('Trapping-gigging'!$A$2:$A$96='month summary'!$B$1,1,0)*('Trapping-gigging'!$K$2:$K$96))</f>
        <v>0</v>
      </c>
    </row>
    <row r="6" spans="1:6" x14ac:dyDescent="0.25">
      <c r="B6" s="12"/>
      <c r="C6" t="s">
        <v>20</v>
      </c>
      <c r="D6" t="str">
        <f>VLOOKUP(C6,'species codes'!$A$2:$B$17,2,FALSE)</f>
        <v>Largemouth bass</v>
      </c>
      <c r="E6">
        <f>SUMIFS('Trapping-gigging'!$L$2:$L$1048576,'Trapping-gigging'!$I$2:$I$1048576,'month summary'!$C6,'Trapping-gigging'!$A$2:$A$1048576,'month summary'!$B$1)</f>
        <v>3</v>
      </c>
      <c r="F6" s="5">
        <f t="array" ref="F6">MAX(IF('Trapping-gigging'!$I$2:$I$96=C6,1)*IF('Trapping-gigging'!$A$2:$A$96='month summary'!$B$1,1,0)*('Trapping-gigging'!$K$2:$K$96))</f>
        <v>275</v>
      </c>
    </row>
    <row r="7" spans="1:6" x14ac:dyDescent="0.25">
      <c r="B7" s="12"/>
      <c r="C7" t="s">
        <v>30</v>
      </c>
      <c r="D7" t="str">
        <f>VLOOKUP(C7,'species codes'!$A$2:$B$17,2,FALSE)</f>
        <v>Red swamp crayfish</v>
      </c>
      <c r="E7">
        <f>SUMIFS('Trapping-gigging'!$L$2:$L$1048576,'Trapping-gigging'!$I$2:$I$1048576,'month summary'!$C7,'Trapping-gigging'!$A$2:$A$1048576,'month summary'!$B$1)</f>
        <v>69</v>
      </c>
      <c r="F7" s="5">
        <f t="array" ref="F7">MAX(IF('Trapping-gigging'!$I$2:$I$96=C7,1)*IF('Trapping-gigging'!$A$2:$A$96='month summary'!$B$1,1,0)*('Trapping-gigging'!$K$2:$K$96))</f>
        <v>0</v>
      </c>
    </row>
    <row r="8" spans="1:6" x14ac:dyDescent="0.25">
      <c r="B8" s="12"/>
      <c r="C8" t="s">
        <v>32</v>
      </c>
      <c r="D8" t="str">
        <f>VLOOKUP(C8,'species codes'!$A$2:$B$17,2,FALSE)</f>
        <v>Southwestern pond turtle</v>
      </c>
      <c r="E8">
        <f>SUMIFS('Trapping-gigging'!$L$2:$L$1048576,'Trapping-gigging'!$I$2:$I$1048576,'month summary'!$C8,'Trapping-gigging'!$A$2:$A$1048576,'month summary'!$B$1)</f>
        <v>0</v>
      </c>
      <c r="F8" s="5">
        <f t="array" ref="F8">MAX(IF('Trapping-gigging'!$I$2:$I$96=C8,1)*IF('Trapping-gigging'!$A$2:$A$96='month summary'!$B$1,1,0)*('Trapping-gigging'!$K$2:$K$96))</f>
        <v>0</v>
      </c>
    </row>
    <row r="9" spans="1:6" x14ac:dyDescent="0.25">
      <c r="A9" s="9"/>
      <c r="B9" s="12"/>
      <c r="C9" t="s">
        <v>103</v>
      </c>
      <c r="D9" t="str">
        <f>VLOOKUP(C9,'species codes'!$A$2:$B$17,2,FALSE)</f>
        <v>African clawed frog tadpole</v>
      </c>
      <c r="E9">
        <f>SUMIFS('Trapping-gigging'!$L$2:$L$1048576,'Trapping-gigging'!$I$2:$I$1048576,'month summary'!$C9,'Trapping-gigging'!$A$2:$A$1048576,'month summary'!$B$1)</f>
        <v>0</v>
      </c>
      <c r="F9" s="5">
        <f t="array" ref="F9">MAX(IF('Trapping-gigging'!$I$2:$I$96=C9,1)*IF('Trapping-gigging'!$A$2:$A$96='month summary'!$B$1,1,0)*('Trapping-gigging'!$K$2:$K$96))</f>
        <v>0</v>
      </c>
    </row>
  </sheetData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workbookViewId="0">
      <selection activeCell="G13" sqref="G13"/>
    </sheetView>
  </sheetViews>
  <sheetFormatPr defaultRowHeight="15" x14ac:dyDescent="0.25"/>
  <cols>
    <col min="1" max="1" width="12.7109375" style="14" bestFit="1" customWidth="1"/>
    <col min="6" max="6" width="13.85546875" bestFit="1" customWidth="1"/>
    <col min="7" max="7" width="14.85546875" bestFit="1" customWidth="1"/>
    <col min="8" max="8" width="12" bestFit="1" customWidth="1"/>
    <col min="12" max="12" width="12.7109375" bestFit="1" customWidth="1"/>
  </cols>
  <sheetData>
    <row r="1" spans="1:12" x14ac:dyDescent="0.25">
      <c r="A1" s="16"/>
      <c r="B1" s="9"/>
      <c r="C1" s="9"/>
      <c r="D1" s="9" t="s">
        <v>111</v>
      </c>
      <c r="E1" s="9"/>
      <c r="F1" s="9" t="s">
        <v>112</v>
      </c>
      <c r="G1" s="9" t="s">
        <v>113</v>
      </c>
      <c r="H1" s="9" t="s">
        <v>114</v>
      </c>
      <c r="I1" s="9" t="s">
        <v>115</v>
      </c>
    </row>
    <row r="2" spans="1:12" x14ac:dyDescent="0.25">
      <c r="D2">
        <f>CONVERT(C2,"F","C")</f>
        <v>-17.777777777777779</v>
      </c>
      <c r="F2" s="15">
        <v>41825.5</v>
      </c>
      <c r="G2" s="15">
        <v>41840.5</v>
      </c>
      <c r="H2" t="e">
        <f>MATCH(F2,$A$1:$A$8942,0)</f>
        <v>#N/A</v>
      </c>
      <c r="I2" t="e">
        <f>MATCH(G2,$A$1:$A$8942,0)</f>
        <v>#N/A</v>
      </c>
      <c r="L2" s="15"/>
    </row>
    <row r="3" spans="1:12" x14ac:dyDescent="0.25">
      <c r="F3" s="14" t="e">
        <f ca="1">INDIRECT("A"&amp;H2)</f>
        <v>#N/A</v>
      </c>
      <c r="G3" s="14" t="e">
        <f ca="1">INDIRECT("A"&amp;I2)</f>
        <v>#N/A</v>
      </c>
      <c r="L3" s="15"/>
    </row>
    <row r="4" spans="1:12" x14ac:dyDescent="0.25">
      <c r="H4" s="9" t="s">
        <v>116</v>
      </c>
      <c r="L4" s="15"/>
    </row>
    <row r="5" spans="1:12" x14ac:dyDescent="0.25">
      <c r="H5" t="e">
        <f ca="1">AVERAGE(INDIRECT("C"&amp;H2):INDIRECT("C"&amp;I2))</f>
        <v>#N/A</v>
      </c>
      <c r="L5" s="15"/>
    </row>
    <row r="6" spans="1:12" x14ac:dyDescent="0.25">
      <c r="H6" s="9" t="s">
        <v>117</v>
      </c>
    </row>
    <row r="7" spans="1:12" x14ac:dyDescent="0.25">
      <c r="H7" s="14" t="e">
        <f ca="1">OFFSET(A1,H2-1,0)</f>
        <v>#N/A</v>
      </c>
      <c r="I7" t="e">
        <f ca="1">OFFSET(A1,H2-1,1)</f>
        <v>#N/A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Trapping-gigging</vt:lpstr>
      <vt:lpstr>method codes</vt:lpstr>
      <vt:lpstr>species codes</vt:lpstr>
      <vt:lpstr>month summary</vt:lpstr>
      <vt:lpstr>textTOcolumns</vt:lpstr>
      <vt:lpstr>'Trapping-gigging'!Extract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UWCD</dc:creator>
  <cp:lastModifiedBy>mike</cp:lastModifiedBy>
  <dcterms:created xsi:type="dcterms:W3CDTF">2016-04-28T17:18:32Z</dcterms:created>
  <dcterms:modified xsi:type="dcterms:W3CDTF">2018-02-16T21:39:07Z</dcterms:modified>
</cp:coreProperties>
</file>